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io-my.sharepoint.com/personal/heins_uio_no/Documents/Dokumenter/Courses/Regular courses/Stata course UiO/"/>
    </mc:Choice>
  </mc:AlternateContent>
  <xr:revisionPtr revIDLastSave="5" documentId="11_10648C927DD0407384492DA873E78D761D6E33ED" xr6:coauthVersionLast="47" xr6:coauthVersionMax="47" xr10:uidLastSave="{01E76B93-7F79-476C-AF90-35ED71E27C75}"/>
  <bookViews>
    <workbookView xWindow="-28898" yWindow="-2820" windowWidth="28996" windowHeight="16395" xr2:uid="{00000000-000D-0000-FFFF-FFFF00000000}"/>
  </bookViews>
  <sheets>
    <sheet name="OR, RR" sheetId="2" r:id="rId1"/>
    <sheet name="Case-Control OR" sheetId="4" r:id="rId2"/>
  </sheets>
  <definedNames>
    <definedName name="_se2">#REF!</definedName>
    <definedName name="_use2">#REF!</definedName>
    <definedName name="a_">'Case-Control OR'!$C$13</definedName>
    <definedName name="b_">'Case-Control OR'!$D$13</definedName>
    <definedName name="bb">#REF!</definedName>
    <definedName name="c_">'Case-Control OR'!$C$14</definedName>
    <definedName name="cc">#REF!</definedName>
    <definedName name="cilist">#REF!</definedName>
    <definedName name="d_">'Case-Control OR'!$D$14</definedName>
    <definedName name="dd">#REF!</definedName>
    <definedName name="e" localSheetId="0">'OR, RR'!$M$4</definedName>
    <definedName name="m_">'Case-Control OR'!$C$4</definedName>
    <definedName name="n" localSheetId="0">'OR, RR'!$C$3</definedName>
    <definedName name="n1_">'Case-Control OR'!$C$3</definedName>
    <definedName name="n2_">'Case-Control OR'!$D$15</definedName>
    <definedName name="normal">#REF!</definedName>
    <definedName name="npv">#REF!</definedName>
    <definedName name="p" localSheetId="0">'OR, RR'!$C$5</definedName>
    <definedName name="p">'Case-Control OR'!$C$5</definedName>
    <definedName name="p2_">'Case-Control OR'!$C$6</definedName>
    <definedName name="ppv">#REF!</definedName>
    <definedName name="q" localSheetId="0">'OR, RR'!$M$3</definedName>
    <definedName name="r_" localSheetId="0">'OR, RR'!$C$6</definedName>
    <definedName name="r_">'Case-Control OR'!$C$7</definedName>
    <definedName name="s" localSheetId="0">'OR, RR'!$C$4</definedName>
    <definedName name="se">#REF!</definedName>
    <definedName name="sens">#REF!</definedName>
    <definedName name="spes">#REF!</definedName>
    <definedName name="use">#REF!</definedName>
    <definedName name="_xlnm.Print_Area" localSheetId="0">'OR, RR'!$A$1:$Q$27</definedName>
    <definedName name="w1_">#REF!</definedName>
    <definedName name="w2_">#REF!</definedName>
    <definedName name="zz">#REF!</definedName>
    <definedName name="a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2" i="2" l="1"/>
  <c r="R21" i="2"/>
  <c r="D22" i="2"/>
  <c r="R22" i="2"/>
  <c r="R23" i="2" s="1"/>
  <c r="V12" i="2"/>
  <c r="F14" i="2"/>
  <c r="F15" i="2" s="1"/>
  <c r="Q12" i="2"/>
  <c r="J12" i="4"/>
  <c r="J14" i="4" s="1"/>
  <c r="L14" i="4" s="1"/>
  <c r="C14" i="4" s="1"/>
  <c r="L12" i="4"/>
  <c r="C13" i="4" s="1"/>
  <c r="D15" i="4"/>
  <c r="I13" i="4" s="1"/>
  <c r="K12" i="4"/>
  <c r="K14" i="4"/>
  <c r="C15" i="4"/>
  <c r="E15" i="4" s="1"/>
  <c r="I8" i="4"/>
  <c r="H8" i="4"/>
  <c r="J8" i="4" s="1"/>
  <c r="L9" i="4"/>
  <c r="E8" i="4"/>
  <c r="A23" i="4"/>
  <c r="A13" i="4"/>
  <c r="C11" i="4"/>
  <c r="M3" i="2"/>
  <c r="M4" i="2"/>
  <c r="K8" i="2"/>
  <c r="J8" i="2"/>
  <c r="J12" i="2" s="1"/>
  <c r="A14" i="2"/>
  <c r="C12" i="2"/>
  <c r="K14" i="2"/>
  <c r="C16" i="4" l="1"/>
  <c r="A24" i="4" s="1"/>
  <c r="J13" i="4"/>
  <c r="L13" i="4" s="1"/>
  <c r="D13" i="4" s="1"/>
  <c r="D16" i="4" s="1"/>
  <c r="J15" i="4"/>
  <c r="L15" i="4" s="1"/>
  <c r="D14" i="4" s="1"/>
  <c r="E14" i="4" s="1"/>
  <c r="R24" i="2"/>
  <c r="M5" i="2"/>
  <c r="C14" i="2" s="1"/>
  <c r="E14" i="2" s="1"/>
  <c r="S14" i="2" s="1"/>
  <c r="X14" i="2" s="1"/>
  <c r="K13" i="4"/>
  <c r="K15" i="4" s="1"/>
  <c r="I15" i="4"/>
  <c r="I12" i="4" s="1"/>
  <c r="I14" i="4" s="1"/>
  <c r="M6" i="2"/>
  <c r="C15" i="2" s="1"/>
  <c r="Q15" i="2" s="1"/>
  <c r="V15" i="2" s="1"/>
  <c r="D21" i="2"/>
  <c r="J17" i="4" l="1"/>
  <c r="E13" i="4"/>
  <c r="E16" i="4" s="1"/>
  <c r="A25" i="4" s="1"/>
  <c r="Q14" i="2"/>
  <c r="I18" i="4"/>
  <c r="D23" i="2"/>
  <c r="D24" i="2"/>
  <c r="V14" i="2"/>
  <c r="E15" i="2"/>
  <c r="A26" i="4" l="1"/>
  <c r="I17" i="4"/>
  <c r="S15" i="2"/>
  <c r="C16" i="2"/>
  <c r="C22" i="2" s="1"/>
  <c r="K15" i="2"/>
  <c r="C21" i="2"/>
  <c r="K17" i="4" l="1"/>
  <c r="K18" i="4" s="1"/>
  <c r="L17" i="4"/>
  <c r="L18" i="4" s="1"/>
  <c r="K17" i="2"/>
  <c r="L17" i="2" s="1"/>
  <c r="K16" i="2"/>
  <c r="L16" i="2" s="1"/>
  <c r="C24" i="2"/>
  <c r="E17" i="2" s="1"/>
  <c r="C23" i="2"/>
  <c r="C17" i="2" s="1"/>
  <c r="X15" i="2"/>
  <c r="Q16" i="2"/>
  <c r="Q22" i="2" s="1"/>
  <c r="Q21" i="2"/>
  <c r="D18" i="4" l="1"/>
  <c r="Q24" i="2"/>
  <c r="S17" i="2" s="1"/>
  <c r="Q23" i="2"/>
  <c r="Q17" i="2" s="1"/>
  <c r="V16" i="2"/>
  <c r="V22" i="2" s="1"/>
  <c r="V21" i="2"/>
  <c r="V23" i="2" l="1"/>
  <c r="V17" i="2" s="1"/>
  <c r="V24" i="2"/>
  <c r="X17" i="2" s="1"/>
</calcChain>
</file>

<file path=xl/sharedStrings.xml><?xml version="1.0" encoding="utf-8"?>
<sst xmlns="http://schemas.openxmlformats.org/spreadsheetml/2006/main" count="123" uniqueCount="84">
  <si>
    <t>+</t>
  </si>
  <si>
    <t>-</t>
  </si>
  <si>
    <t>Names in formula</t>
  </si>
  <si>
    <t>Names</t>
  </si>
  <si>
    <t xml:space="preserve">n </t>
  </si>
  <si>
    <t>s</t>
  </si>
  <si>
    <t>p</t>
  </si>
  <si>
    <t>r</t>
  </si>
  <si>
    <t>Square root</t>
  </si>
  <si>
    <t>q</t>
  </si>
  <si>
    <t>Denominator</t>
  </si>
  <si>
    <t>e</t>
  </si>
  <si>
    <t>a</t>
  </si>
  <si>
    <t>c</t>
  </si>
  <si>
    <t>Eksp()</t>
  </si>
  <si>
    <t>log(OR)</t>
  </si>
  <si>
    <t>se(log(OR))</t>
  </si>
  <si>
    <t>log(CI)</t>
  </si>
  <si>
    <t>Values</t>
  </si>
  <si>
    <t>CI low</t>
  </si>
  <si>
    <t>CI high</t>
  </si>
  <si>
    <t>OR</t>
  </si>
  <si>
    <t>Intermediate calculations</t>
  </si>
  <si>
    <t>&lt;-</t>
  </si>
  <si>
    <t>Decimals=</t>
  </si>
  <si>
    <t>Number of subjects, N=</t>
  </si>
  <si>
    <t>Proportion with disease=</t>
  </si>
  <si>
    <t>Proportion exposed=</t>
  </si>
  <si>
    <t>Expected OR=</t>
  </si>
  <si>
    <t>Intermediate calculations hidden</t>
  </si>
  <si>
    <t>Odds ratio and relative risk</t>
  </si>
  <si>
    <t>Sample size calculation in words:</t>
  </si>
  <si>
    <t>estimate</t>
  </si>
  <si>
    <t>Cases</t>
  </si>
  <si>
    <t>Controls</t>
  </si>
  <si>
    <t>Odds ratio from case-control</t>
  </si>
  <si>
    <t>n1_</t>
  </si>
  <si>
    <t>r_</t>
  </si>
  <si>
    <t>m_</t>
  </si>
  <si>
    <t>zz</t>
  </si>
  <si>
    <t>b</t>
  </si>
  <si>
    <t>d</t>
  </si>
  <si>
    <t>se</t>
  </si>
  <si>
    <t>log(OR)=</t>
  </si>
  <si>
    <t>Both</t>
  </si>
  <si>
    <t>exposures</t>
  </si>
  <si>
    <t>Expo controls</t>
  </si>
  <si>
    <t>Expo cases</t>
  </si>
  <si>
    <t>Value</t>
  </si>
  <si>
    <t>calculated by the program, and</t>
  </si>
  <si>
    <t xml:space="preserve"> write in values for the other two</t>
  </si>
  <si>
    <t>is calculated by the program</t>
  </si>
  <si>
    <t>Conf z</t>
  </si>
  <si>
    <t>power z</t>
  </si>
  <si>
    <t>Choose one of the numbers to be</t>
  </si>
  <si>
    <t>Cases:</t>
  </si>
  <si>
    <t>Controls per case:</t>
  </si>
  <si>
    <t>Proportion of cases exposed:</t>
  </si>
  <si>
    <t>Proportion of controls exposed:</t>
  </si>
  <si>
    <t>Expected OR:</t>
  </si>
  <si>
    <t>Confidence level:</t>
  </si>
  <si>
    <t>Power:</t>
  </si>
  <si>
    <t>Values:</t>
  </si>
  <si>
    <t>sum</t>
  </si>
  <si>
    <t>malformation</t>
  </si>
  <si>
    <t>color hair</t>
  </si>
  <si>
    <t>Outcome:</t>
  </si>
  <si>
    <t>Exposure:</t>
  </si>
  <si>
    <t>OR=</t>
  </si>
  <si>
    <t>Disease</t>
  </si>
  <si>
    <t>Exposure</t>
  </si>
  <si>
    <t>Expected</t>
  </si>
  <si>
    <t>Rounded</t>
  </si>
  <si>
    <t>se(log(OR))=</t>
  </si>
  <si>
    <t>ll=</t>
  </si>
  <si>
    <t>ul=</t>
  </si>
  <si>
    <t>CI=</t>
  </si>
  <si>
    <t>Random move</t>
  </si>
  <si>
    <t>←</t>
  </si>
  <si>
    <t>↑</t>
  </si>
  <si>
    <t>Show for N=10000, 1000 and 100</t>
  </si>
  <si>
    <t>Rounded, Random</t>
  </si>
  <si>
    <t>Sample</t>
  </si>
  <si>
    <t>"Infinite"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</si>
</sst>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\ %"/>
    <numFmt numFmtId="166" formatCode="0.0"/>
    <numFmt numFmtId="167" formatCode="#,##0.000"/>
    <numFmt numFmtId="168" formatCode="0.000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8"/>
      <color rgb="FF000000"/>
      <name val="Tahoma"/>
      <family val="2"/>
    </font>
    <font>
      <sz val="10"/>
      <color rgb="FF0033CC"/>
      <name val="Arial"/>
      <family val="2"/>
    </font>
    <font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3" fontId="2" fillId="0" borderId="1" xfId="0" applyNumberFormat="1" applyFont="1" applyBorder="1" applyAlignment="1">
      <alignment horizontal="center"/>
    </xf>
    <xf numFmtId="4" fontId="3" fillId="0" borderId="0" xfId="0" quotePrefix="1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166" fontId="0" fillId="0" borderId="0" xfId="0" quotePrefix="1" applyNumberFormat="1"/>
    <xf numFmtId="166" fontId="0" fillId="0" borderId="0" xfId="0" applyNumberFormat="1"/>
    <xf numFmtId="3" fontId="2" fillId="0" borderId="3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 applyAlignment="1">
      <alignment horizontal="left"/>
    </xf>
    <xf numFmtId="167" fontId="4" fillId="0" borderId="0" xfId="0" applyNumberFormat="1" applyFont="1"/>
    <xf numFmtId="0" fontId="2" fillId="0" borderId="0" xfId="0" applyFont="1"/>
    <xf numFmtId="0" fontId="7" fillId="0" borderId="0" xfId="0" applyFont="1"/>
    <xf numFmtId="0" fontId="0" fillId="0" borderId="2" xfId="0" applyBorder="1"/>
    <xf numFmtId="4" fontId="2" fillId="0" borderId="3" xfId="0" applyNumberFormat="1" applyFont="1" applyBorder="1"/>
    <xf numFmtId="0" fontId="0" fillId="0" borderId="4" xfId="0" applyBorder="1"/>
    <xf numFmtId="0" fontId="0" fillId="0" borderId="1" xfId="0" applyBorder="1"/>
    <xf numFmtId="4" fontId="3" fillId="0" borderId="0" xfId="0" applyNumberFormat="1" applyFont="1" applyBorder="1" applyAlignment="1">
      <alignment horizontal="center"/>
    </xf>
    <xf numFmtId="4" fontId="3" fillId="0" borderId="0" xfId="0" quotePrefix="1" applyNumberFormat="1" applyFont="1" applyBorder="1" applyAlignment="1">
      <alignment horizontal="center"/>
    </xf>
    <xf numFmtId="4" fontId="3" fillId="0" borderId="0" xfId="0" applyNumberFormat="1" applyFont="1" applyBorder="1"/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165" fontId="1" fillId="0" borderId="0" xfId="1" applyNumberFormat="1" applyBorder="1"/>
    <xf numFmtId="0" fontId="0" fillId="0" borderId="5" xfId="0" applyBorder="1"/>
    <xf numFmtId="4" fontId="2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/>
    <xf numFmtId="9" fontId="0" fillId="0" borderId="0" xfId="0" applyNumberFormat="1"/>
    <xf numFmtId="165" fontId="1" fillId="0" borderId="7" xfId="1" applyNumberFormat="1" applyBorder="1" applyAlignment="1">
      <alignment horizontal="center"/>
    </xf>
    <xf numFmtId="168" fontId="0" fillId="0" borderId="0" xfId="0" applyNumberFormat="1"/>
    <xf numFmtId="0" fontId="0" fillId="0" borderId="0" xfId="0" applyAlignment="1">
      <alignment horizontal="left"/>
    </xf>
    <xf numFmtId="165" fontId="1" fillId="0" borderId="5" xfId="1" applyNumberFormat="1" applyBorder="1"/>
    <xf numFmtId="0" fontId="3" fillId="0" borderId="0" xfId="0" applyFont="1" applyAlignment="1">
      <alignment horizontal="right"/>
    </xf>
    <xf numFmtId="168" fontId="2" fillId="0" borderId="0" xfId="0" applyNumberFormat="1" applyFont="1"/>
    <xf numFmtId="165" fontId="0" fillId="0" borderId="0" xfId="0" applyNumberFormat="1"/>
    <xf numFmtId="165" fontId="1" fillId="0" borderId="7" xfId="1" applyNumberForma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9" fontId="0" fillId="0" borderId="0" xfId="1" applyFont="1"/>
    <xf numFmtId="0" fontId="0" fillId="2" borderId="0" xfId="0" applyFill="1" applyProtection="1">
      <protection locked="0"/>
    </xf>
    <xf numFmtId="9" fontId="0" fillId="2" borderId="0" xfId="0" applyNumberFormat="1" applyFill="1" applyProtection="1">
      <protection locked="0"/>
    </xf>
    <xf numFmtId="0" fontId="3" fillId="2" borderId="0" xfId="0" applyFont="1" applyFill="1" applyProtection="1">
      <protection locked="0"/>
    </xf>
    <xf numFmtId="165" fontId="3" fillId="2" borderId="0" xfId="1" applyNumberFormat="1" applyFont="1" applyFill="1" applyProtection="1">
      <protection locked="0"/>
    </xf>
    <xf numFmtId="165" fontId="3" fillId="2" borderId="0" xfId="0" applyNumberFormat="1" applyFont="1" applyFill="1" applyProtection="1">
      <protection locked="0"/>
    </xf>
    <xf numFmtId="2" fontId="3" fillId="2" borderId="0" xfId="0" applyNumberFormat="1" applyFon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Protection="1">
      <protection locked="0"/>
    </xf>
    <xf numFmtId="2" fontId="0" fillId="0" borderId="0" xfId="0" applyNumberFormat="1" applyAlignment="1">
      <alignment horizontal="right"/>
    </xf>
    <xf numFmtId="3" fontId="3" fillId="0" borderId="0" xfId="0" applyNumberFormat="1" applyFont="1" applyFill="1" applyProtection="1">
      <protection locked="0"/>
    </xf>
    <xf numFmtId="165" fontId="3" fillId="0" borderId="0" xfId="1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9" fontId="0" fillId="0" borderId="0" xfId="0" applyNumberFormat="1" applyFill="1" applyProtection="1">
      <protection locked="0"/>
    </xf>
    <xf numFmtId="3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168" fontId="4" fillId="0" borderId="0" xfId="0" applyNumberFormat="1" applyFont="1" applyFill="1" applyBorder="1"/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9" fontId="0" fillId="3" borderId="0" xfId="0" applyNumberFormat="1" applyFill="1" applyProtection="1">
      <protection locked="0"/>
    </xf>
    <xf numFmtId="0" fontId="5" fillId="0" borderId="1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5" fontId="5" fillId="0" borderId="0" xfId="1" applyNumberFormat="1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4" fontId="2" fillId="0" borderId="2" xfId="0" applyNumberFormat="1" applyFont="1" applyBorder="1"/>
    <xf numFmtId="4" fontId="3" fillId="0" borderId="1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1" xfId="0" quotePrefix="1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0" fillId="0" borderId="6" xfId="0" applyBorder="1" applyAlignment="1">
      <alignment horizontal="right"/>
    </xf>
    <xf numFmtId="166" fontId="0" fillId="0" borderId="7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5" fillId="0" borderId="1" xfId="0" applyFont="1" applyBorder="1"/>
    <xf numFmtId="4" fontId="2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8" fillId="0" borderId="5" xfId="0" quotePrefix="1" applyNumberFormat="1" applyFont="1" applyBorder="1" applyAlignment="1">
      <alignment horizontal="center"/>
    </xf>
    <xf numFmtId="4" fontId="8" fillId="0" borderId="1" xfId="0" quotePrefix="1" applyNumberFormat="1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</cellXfs>
  <cellStyles count="2">
    <cellStyle name="Normal" xfId="0" builtinId="0"/>
    <cellStyle name="Prosent" xfId="1" builtinId="5"/>
  </cellStyles>
  <dxfs count="3">
    <dxf>
      <font>
        <color rgb="FFFF0000"/>
      </font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L$11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512956</xdr:colOff>
      <xdr:row>19</xdr:row>
      <xdr:rowOff>157975</xdr:rowOff>
    </xdr:from>
    <xdr:ext cx="2501590" cy="6365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832410" y="3310053"/>
              <a:ext cx="2501590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400" b="0" i="1">
                        <a:latin typeface="Cambria Math" panose="02040503050406030204" pitchFamily="18" charset="0"/>
                      </a:rPr>
                      <m:t>𝑠𝑒</m:t>
                    </m:r>
                    <m:d>
                      <m:dPr>
                        <m:ctrlPr>
                          <a:rPr lang="nb-NO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unc>
                          <m:funcPr>
                            <m:ctrlPr>
                              <a:rPr lang="nb-NO" sz="1400" b="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nb-NO" sz="1400" b="0" i="0">
                                <a:latin typeface="Cambria Math" panose="02040503050406030204" pitchFamily="18" charset="0"/>
                              </a:rPr>
                              <m:t>log</m:t>
                            </m:r>
                          </m:fName>
                          <m:e>
                            <m:d>
                              <m:dPr>
                                <m:ctrlPr>
                                  <a:rPr lang="nb-NO" sz="14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nb-NO" sz="1400" b="0" i="1">
                                    <a:latin typeface="Cambria Math" panose="02040503050406030204" pitchFamily="18" charset="0"/>
                                  </a:rPr>
                                  <m:t>𝑂𝑅</m:t>
                                </m:r>
                              </m:e>
                            </m:d>
                          </m:e>
                        </m:func>
                      </m:e>
                    </m:d>
                    <m:r>
                      <a:rPr lang="nb-NO" sz="14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nb-NO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nb-NO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b-NO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b-NO" sz="14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den>
                        </m:f>
                        <m:r>
                          <a:rPr lang="nb-NO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𝑏</m:t>
                            </m:r>
                          </m:den>
                        </m:f>
                        <m:r>
                          <a:rPr lang="nb-NO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</m:t>
                            </m:r>
                          </m:den>
                        </m:f>
                        <m:r>
                          <a:rPr lang="nb-NO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nb-NO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" name="TekstSylinder 2"/>
            <xdr:cNvSpPr txBox="1"/>
          </xdr:nvSpPr>
          <xdr:spPr>
            <a:xfrm>
              <a:off x="2832410" y="3310053"/>
              <a:ext cx="2501590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nb-NO" sz="1400" b="0" i="0">
                  <a:latin typeface="Cambria Math" panose="02040503050406030204" pitchFamily="18" charset="0"/>
                </a:rPr>
                <a:t>𝑠𝑒(log⁡(𝑂𝑅) )=√(1/𝑎+</a:t>
              </a:r>
              <a:r>
                <a:rPr lang="nb-NO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nb-N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𝑏</a:t>
              </a:r>
              <a:r>
                <a:rPr lang="nb-NO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+1/</a:t>
              </a:r>
              <a:r>
                <a:rPr lang="nb-N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nb-NO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+1/</a:t>
              </a:r>
              <a:r>
                <a:rPr lang="nb-N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𝑑)</a:t>
              </a:r>
              <a:endParaRPr lang="en-US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32657</xdr:colOff>
          <xdr:row>3</xdr:row>
          <xdr:rowOff>136071</xdr:rowOff>
        </xdr:from>
        <xdr:to>
          <xdr:col>3</xdr:col>
          <xdr:colOff>440871</xdr:colOff>
          <xdr:row>7</xdr:row>
          <xdr:rowOff>21771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157843</xdr:colOff>
          <xdr:row>3</xdr:row>
          <xdr:rowOff>157843</xdr:rowOff>
        </xdr:from>
        <xdr:to>
          <xdr:col>4</xdr:col>
          <xdr:colOff>174171</xdr:colOff>
          <xdr:row>5</xdr:row>
          <xdr:rowOff>32657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157843</xdr:colOff>
          <xdr:row>4</xdr:row>
          <xdr:rowOff>146957</xdr:rowOff>
        </xdr:from>
        <xdr:to>
          <xdr:col>4</xdr:col>
          <xdr:colOff>174171</xdr:colOff>
          <xdr:row>6</xdr:row>
          <xdr:rowOff>21771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157843</xdr:colOff>
          <xdr:row>5</xdr:row>
          <xdr:rowOff>136071</xdr:rowOff>
        </xdr:from>
        <xdr:to>
          <xdr:col>4</xdr:col>
          <xdr:colOff>174171</xdr:colOff>
          <xdr:row>7</xdr:row>
          <xdr:rowOff>21771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AC29"/>
  <sheetViews>
    <sheetView showGridLines="0" tabSelected="1" zoomScale="205" zoomScaleNormal="205" workbookViewId="0">
      <selection activeCell="C4" sqref="C4"/>
    </sheetView>
  </sheetViews>
  <sheetFormatPr baseColWidth="10" defaultColWidth="11.4609375" defaultRowHeight="12.45" outlineLevelCol="1" x14ac:dyDescent="0.3"/>
  <cols>
    <col min="1" max="1" width="22.3046875" customWidth="1"/>
    <col min="2" max="2" width="2.3046875" customWidth="1"/>
    <col min="3" max="3" width="8" bestFit="1" customWidth="1"/>
    <col min="4" max="4" width="1.07421875" customWidth="1"/>
    <col min="5" max="5" width="8.23046875" customWidth="1"/>
    <col min="6" max="6" width="6.53515625" hidden="1" customWidth="1"/>
    <col min="7" max="8" width="0" hidden="1" customWidth="1"/>
    <col min="9" max="14" width="11.4609375" hidden="1" customWidth="1" outlineLevel="1"/>
    <col min="15" max="15" width="1.69140625" customWidth="1" collapsed="1"/>
    <col min="16" max="16" width="2.07421875" customWidth="1"/>
    <col min="17" max="17" width="5.07421875" customWidth="1"/>
    <col min="18" max="18" width="0.765625" customWidth="1"/>
    <col min="19" max="19" width="6.4609375" customWidth="1"/>
    <col min="20" max="20" width="2.23046875" customWidth="1"/>
    <col min="21" max="21" width="2.23046875" style="10" customWidth="1"/>
    <col min="22" max="22" width="5.84375" customWidth="1"/>
    <col min="23" max="23" width="1.69140625" customWidth="1"/>
    <col min="24" max="24" width="6.3046875" customWidth="1"/>
    <col min="25" max="25" width="6" customWidth="1"/>
    <col min="26" max="26" width="3" customWidth="1"/>
    <col min="27" max="27" width="5.23046875" customWidth="1"/>
    <col min="28" max="28" width="1.3046875" customWidth="1"/>
    <col min="29" max="29" width="6.23046875" customWidth="1"/>
  </cols>
  <sheetData>
    <row r="1" spans="1:29" ht="22.3" x14ac:dyDescent="0.5">
      <c r="A1" s="5" t="s">
        <v>30</v>
      </c>
      <c r="O1" t="s">
        <v>29</v>
      </c>
    </row>
    <row r="2" spans="1:29" x14ac:dyDescent="0.3">
      <c r="C2" s="11" t="s">
        <v>18</v>
      </c>
      <c r="D2" s="11"/>
      <c r="E2" s="10" t="s">
        <v>3</v>
      </c>
      <c r="J2" t="s">
        <v>2</v>
      </c>
      <c r="L2" t="s">
        <v>22</v>
      </c>
    </row>
    <row r="3" spans="1:29" x14ac:dyDescent="0.3">
      <c r="A3" s="4" t="s">
        <v>25</v>
      </c>
      <c r="C3" s="56">
        <v>100</v>
      </c>
      <c r="D3" s="58"/>
      <c r="I3" s="11" t="s">
        <v>23</v>
      </c>
      <c r="J3" t="s">
        <v>4</v>
      </c>
      <c r="L3" s="12" t="s">
        <v>8</v>
      </c>
      <c r="M3" s="6">
        <f>n*SQRT(-4*(p-1)*(r_-1)*s+(1+(p-s)*(r_-1))^2)</f>
        <v>132.42356285797479</v>
      </c>
      <c r="N3" t="s">
        <v>9</v>
      </c>
      <c r="S3" s="12" t="s">
        <v>80</v>
      </c>
    </row>
    <row r="4" spans="1:29" x14ac:dyDescent="0.3">
      <c r="A4" s="4" t="s">
        <v>26</v>
      </c>
      <c r="C4" s="51">
        <v>0.02</v>
      </c>
      <c r="D4" s="59"/>
      <c r="E4" s="54" t="s">
        <v>69</v>
      </c>
      <c r="F4" s="54"/>
      <c r="G4" s="35"/>
      <c r="I4" s="11" t="s">
        <v>23</v>
      </c>
      <c r="J4" t="s">
        <v>5</v>
      </c>
      <c r="L4" s="12" t="s">
        <v>10</v>
      </c>
      <c r="M4">
        <f>2*(r_-1)</f>
        <v>6</v>
      </c>
      <c r="N4" t="s">
        <v>11</v>
      </c>
    </row>
    <row r="5" spans="1:29" x14ac:dyDescent="0.3">
      <c r="A5" s="4" t="s">
        <v>27</v>
      </c>
      <c r="C5" s="51">
        <v>0.1</v>
      </c>
      <c r="D5" s="59"/>
      <c r="E5" s="54" t="s">
        <v>70</v>
      </c>
      <c r="F5" s="54"/>
      <c r="G5" s="35"/>
      <c r="I5" s="11" t="s">
        <v>23</v>
      </c>
      <c r="J5" t="s">
        <v>6</v>
      </c>
      <c r="L5" s="12" t="s">
        <v>12</v>
      </c>
      <c r="M5" s="7">
        <f>(n*(1+(p+s)*(r_-1))-q)/e</f>
        <v>0.59607285700420221</v>
      </c>
    </row>
    <row r="6" spans="1:29" x14ac:dyDescent="0.3">
      <c r="A6" s="4" t="s">
        <v>28</v>
      </c>
      <c r="C6" s="53">
        <v>4</v>
      </c>
      <c r="D6" s="60"/>
      <c r="F6" s="57"/>
      <c r="G6" s="37"/>
      <c r="I6" s="11" t="s">
        <v>23</v>
      </c>
      <c r="J6" t="s">
        <v>7</v>
      </c>
      <c r="L6" s="12" t="s">
        <v>13</v>
      </c>
      <c r="M6" s="7">
        <f>(n*(-1+(s-p)*(r_-1))+q)/e</f>
        <v>1.4039271429957978</v>
      </c>
    </row>
    <row r="7" spans="1:29" hidden="1" x14ac:dyDescent="0.3">
      <c r="A7" s="4" t="s">
        <v>60</v>
      </c>
      <c r="C7" s="49">
        <v>0.95</v>
      </c>
      <c r="D7" s="61"/>
      <c r="J7" s="11" t="s">
        <v>52</v>
      </c>
      <c r="K7" s="11" t="s">
        <v>53</v>
      </c>
      <c r="L7" s="11"/>
    </row>
    <row r="8" spans="1:29" hidden="1" x14ac:dyDescent="0.3">
      <c r="A8" s="4" t="s">
        <v>61</v>
      </c>
      <c r="C8" s="49">
        <v>0.8</v>
      </c>
      <c r="D8" s="61"/>
      <c r="J8" s="37">
        <f>NORMINV(1-(1-C7)/2,0,1)</f>
        <v>1.9599639845400536</v>
      </c>
      <c r="K8" s="37">
        <f>NORMINV(C8,0,1)</f>
        <v>0.84162123357291474</v>
      </c>
      <c r="L8" s="37"/>
    </row>
    <row r="9" spans="1:29" hidden="1" x14ac:dyDescent="0.3">
      <c r="A9" s="4"/>
      <c r="C9" s="49"/>
      <c r="D9" s="61"/>
      <c r="J9" s="37"/>
      <c r="K9" s="37"/>
      <c r="L9" s="37"/>
    </row>
    <row r="10" spans="1:29" x14ac:dyDescent="0.3">
      <c r="A10" s="4"/>
      <c r="C10" s="76"/>
      <c r="D10" s="61"/>
      <c r="J10" s="37"/>
      <c r="K10" s="37"/>
      <c r="L10" s="37"/>
    </row>
    <row r="11" spans="1:29" s="4" customFormat="1" ht="28.2" customHeight="1" x14ac:dyDescent="0.3">
      <c r="A11" s="66"/>
      <c r="B11" s="66"/>
      <c r="C11" s="115" t="s">
        <v>71</v>
      </c>
      <c r="D11" s="115"/>
      <c r="E11" s="115"/>
      <c r="F11" s="66"/>
      <c r="G11" s="66"/>
      <c r="H11" s="66"/>
      <c r="I11" s="66"/>
      <c r="J11" s="70" t="s">
        <v>39</v>
      </c>
      <c r="K11" s="66"/>
      <c r="L11" s="66"/>
      <c r="M11" s="66"/>
      <c r="N11" s="66"/>
      <c r="O11" s="66"/>
      <c r="P11" s="66"/>
      <c r="Q11" s="105" t="s">
        <v>72</v>
      </c>
      <c r="R11" s="105"/>
      <c r="S11" s="105"/>
      <c r="T11" s="65"/>
      <c r="U11" s="65"/>
      <c r="V11" s="108" t="s">
        <v>81</v>
      </c>
      <c r="W11" s="108"/>
      <c r="X11" s="108"/>
      <c r="Z11" s="65"/>
      <c r="AA11" s="108" t="s">
        <v>77</v>
      </c>
      <c r="AB11" s="108"/>
      <c r="AC11" s="108"/>
    </row>
    <row r="12" spans="1:29" s="12" customFormat="1" ht="15" x14ac:dyDescent="0.35">
      <c r="A12" s="71"/>
      <c r="B12" s="82"/>
      <c r="C12" s="109" t="str">
        <f>$E$4</f>
        <v>Disease</v>
      </c>
      <c r="D12" s="109"/>
      <c r="E12" s="110"/>
      <c r="F12" s="30"/>
      <c r="G12" s="69"/>
      <c r="H12" s="69"/>
      <c r="I12" s="69"/>
      <c r="J12" s="73">
        <f>J8+K8</f>
        <v>2.8015852181129683</v>
      </c>
      <c r="K12" s="69"/>
      <c r="L12" s="69"/>
      <c r="M12" s="69"/>
      <c r="N12" s="69"/>
      <c r="O12" s="69"/>
      <c r="P12" s="82"/>
      <c r="Q12" s="109" t="str">
        <f>$E$4</f>
        <v>Disease</v>
      </c>
      <c r="R12" s="109"/>
      <c r="S12" s="110"/>
      <c r="T12" s="72"/>
      <c r="U12" s="96"/>
      <c r="V12" s="109" t="str">
        <f>$E$4</f>
        <v>Disease</v>
      </c>
      <c r="W12" s="109"/>
      <c r="X12" s="110"/>
      <c r="Z12" s="96"/>
      <c r="AA12" s="109" t="str">
        <f>$E$4</f>
        <v>Disease</v>
      </c>
      <c r="AB12" s="109"/>
      <c r="AC12" s="110"/>
    </row>
    <row r="13" spans="1:29" ht="12.9" x14ac:dyDescent="0.35">
      <c r="A13" s="21"/>
      <c r="B13" s="83"/>
      <c r="C13" s="23" t="s">
        <v>0</v>
      </c>
      <c r="D13" s="23"/>
      <c r="E13" s="84" t="s">
        <v>1</v>
      </c>
      <c r="F13" s="24"/>
      <c r="G13" s="25"/>
      <c r="H13" s="66"/>
      <c r="I13" s="66"/>
      <c r="J13" s="25"/>
      <c r="K13" s="25"/>
      <c r="L13" s="25" t="s">
        <v>14</v>
      </c>
      <c r="M13" s="25"/>
      <c r="N13" s="25"/>
      <c r="O13" s="25"/>
      <c r="P13" s="83"/>
      <c r="Q13" s="23" t="s">
        <v>0</v>
      </c>
      <c r="R13" s="25"/>
      <c r="S13" s="84" t="s">
        <v>1</v>
      </c>
      <c r="T13" s="23"/>
      <c r="U13" s="83"/>
      <c r="V13" s="23" t="s">
        <v>0</v>
      </c>
      <c r="W13" s="25"/>
      <c r="X13" s="84" t="s">
        <v>1</v>
      </c>
      <c r="Z13" s="83"/>
      <c r="AA13" s="23"/>
      <c r="AB13" s="25"/>
      <c r="AC13" s="99" t="s">
        <v>78</v>
      </c>
    </row>
    <row r="14" spans="1:29" ht="15" x14ac:dyDescent="0.35">
      <c r="A14" s="111" t="str">
        <f>$E$5</f>
        <v>Exposure</v>
      </c>
      <c r="B14" s="85" t="s">
        <v>0</v>
      </c>
      <c r="C14" s="63">
        <f>M5</f>
        <v>0.59607285700420221</v>
      </c>
      <c r="D14" s="63"/>
      <c r="E14" s="86">
        <f>F14-C14</f>
        <v>9.4039271429957978</v>
      </c>
      <c r="F14" s="46">
        <f>C3*C5</f>
        <v>10</v>
      </c>
      <c r="G14" s="28"/>
      <c r="H14" s="25"/>
      <c r="I14" s="25"/>
      <c r="J14" s="25" t="s">
        <v>15</v>
      </c>
      <c r="K14" s="25" t="e">
        <f>LN(#REF!)</f>
        <v>#REF!</v>
      </c>
      <c r="L14" s="25"/>
      <c r="M14" s="25"/>
      <c r="N14" s="25"/>
      <c r="O14" s="113"/>
      <c r="P14" s="85" t="s">
        <v>0</v>
      </c>
      <c r="Q14" s="62">
        <f>ROUND(C14,0)</f>
        <v>1</v>
      </c>
      <c r="R14" s="62"/>
      <c r="S14" s="93">
        <f>ROUND(E14,0)</f>
        <v>9</v>
      </c>
      <c r="T14" s="26"/>
      <c r="U14" s="85" t="s">
        <v>0</v>
      </c>
      <c r="V14" s="74">
        <f>Q14+AC14+AA15</f>
        <v>2</v>
      </c>
      <c r="W14" s="62"/>
      <c r="X14" s="74">
        <f>S14-AC14</f>
        <v>8</v>
      </c>
      <c r="Z14" s="85"/>
      <c r="AA14" s="74"/>
      <c r="AB14" s="62"/>
      <c r="AC14" s="101">
        <v>1</v>
      </c>
    </row>
    <row r="15" spans="1:29" ht="15" x14ac:dyDescent="0.35">
      <c r="A15" s="112"/>
      <c r="B15" s="85" t="s">
        <v>1</v>
      </c>
      <c r="C15" s="64">
        <f>M6</f>
        <v>1.4039271429957978</v>
      </c>
      <c r="D15" s="64"/>
      <c r="E15" s="87">
        <f>F15-C15</f>
        <v>88.596072857004202</v>
      </c>
      <c r="F15" s="46">
        <f>C3-F14</f>
        <v>90</v>
      </c>
      <c r="G15" s="28"/>
      <c r="H15" s="25"/>
      <c r="I15" s="25"/>
      <c r="J15" s="25" t="s">
        <v>16</v>
      </c>
      <c r="K15" s="25">
        <f>SQRT(1/C14+1/E14+1/C15+1/E15)</f>
        <v>1.5835279211178055</v>
      </c>
      <c r="L15" s="25"/>
      <c r="M15" s="25"/>
      <c r="N15" s="25"/>
      <c r="O15" s="114"/>
      <c r="P15" s="85" t="s">
        <v>1</v>
      </c>
      <c r="Q15" s="26">
        <f>ROUND(C15,0)</f>
        <v>1</v>
      </c>
      <c r="R15" s="26"/>
      <c r="S15" s="94">
        <f>ROUND(E15,0)</f>
        <v>89</v>
      </c>
      <c r="T15" s="26"/>
      <c r="U15" s="85" t="s">
        <v>1</v>
      </c>
      <c r="V15" s="75">
        <f>Q15-AA15</f>
        <v>1</v>
      </c>
      <c r="W15" s="8"/>
      <c r="X15" s="75">
        <f>S15</f>
        <v>89</v>
      </c>
      <c r="Z15" s="100" t="s">
        <v>79</v>
      </c>
      <c r="AA15" s="75">
        <v>0</v>
      </c>
      <c r="AB15" s="8"/>
      <c r="AC15" s="75"/>
    </row>
    <row r="16" spans="1:29" s="9" customFormat="1" ht="15.45" x14ac:dyDescent="0.4">
      <c r="A16" s="77" t="s">
        <v>68</v>
      </c>
      <c r="B16" s="88"/>
      <c r="C16" s="103">
        <f>(C14*E15)/(C15*E14)</f>
        <v>4.0000000000000036</v>
      </c>
      <c r="D16" s="103"/>
      <c r="E16" s="104"/>
      <c r="F16" s="78"/>
      <c r="G16" s="79"/>
      <c r="H16" s="80"/>
      <c r="I16" s="80"/>
      <c r="J16" s="80" t="s">
        <v>17</v>
      </c>
      <c r="K16" s="80" t="e">
        <f>K14-$J$12*K15</f>
        <v>#REF!</v>
      </c>
      <c r="L16" s="80" t="e">
        <f>EXP(K16)</f>
        <v>#REF!</v>
      </c>
      <c r="M16" s="80"/>
      <c r="N16" s="80"/>
      <c r="O16" s="80"/>
      <c r="P16" s="95"/>
      <c r="Q16" s="106">
        <f>(Q14*S15)/(Q15*S14)</f>
        <v>9.8888888888888893</v>
      </c>
      <c r="R16" s="106"/>
      <c r="S16" s="107"/>
      <c r="T16" s="81"/>
      <c r="U16" s="97"/>
      <c r="V16" s="106">
        <f>(V14*X15)/(V15*X14)</f>
        <v>22.25</v>
      </c>
      <c r="W16" s="106"/>
      <c r="X16" s="107"/>
      <c r="Z16" s="97"/>
      <c r="AA16" s="106"/>
      <c r="AB16" s="106"/>
      <c r="AC16" s="107"/>
    </row>
    <row r="17" spans="1:29" x14ac:dyDescent="0.3">
      <c r="A17" s="67" t="s">
        <v>76</v>
      </c>
      <c r="B17" s="89"/>
      <c r="C17" s="90">
        <f>C23</f>
        <v>0.17952866965682035</v>
      </c>
      <c r="D17" s="91"/>
      <c r="E17" s="92">
        <f>C24</f>
        <v>89.122255685317427</v>
      </c>
      <c r="F17" s="68"/>
      <c r="G17" s="25"/>
      <c r="H17" s="25"/>
      <c r="J17" t="s">
        <v>17</v>
      </c>
      <c r="K17" t="e">
        <f>K14+$J$12*K15</f>
        <v>#REF!</v>
      </c>
      <c r="L17" t="e">
        <f>EXP(K17)</f>
        <v>#REF!</v>
      </c>
      <c r="P17" s="32"/>
      <c r="Q17" s="90">
        <f>Q23</f>
        <v>0.56894552962928946</v>
      </c>
      <c r="R17" s="91"/>
      <c r="S17" s="92">
        <f>Q24</f>
        <v>171.87958840366969</v>
      </c>
      <c r="T17" s="7"/>
      <c r="U17" s="98"/>
      <c r="V17" s="90">
        <f>V23</f>
        <v>1.8133925047920745</v>
      </c>
      <c r="W17" s="91"/>
      <c r="X17" s="92">
        <f>V24</f>
        <v>273.00349962390777</v>
      </c>
      <c r="Z17" s="98"/>
      <c r="AA17" s="90"/>
      <c r="AB17" s="91"/>
      <c r="AC17" s="92"/>
    </row>
    <row r="18" spans="1:29" x14ac:dyDescent="0.3">
      <c r="B18" s="102" t="s">
        <v>83</v>
      </c>
      <c r="C18" s="102"/>
      <c r="D18" s="102"/>
      <c r="E18" s="102"/>
      <c r="P18" s="102"/>
      <c r="Q18" s="102"/>
      <c r="R18" s="102"/>
      <c r="S18" s="102"/>
      <c r="U18" s="102" t="s">
        <v>82</v>
      </c>
      <c r="V18" s="102"/>
      <c r="W18" s="102"/>
      <c r="X18" s="102"/>
    </row>
    <row r="19" spans="1:29" ht="17.600000000000001" x14ac:dyDescent="0.4">
      <c r="A19" s="17"/>
      <c r="P19" s="10"/>
    </row>
    <row r="20" spans="1:29" ht="15" x14ac:dyDescent="0.35">
      <c r="A20" s="16"/>
    </row>
    <row r="21" spans="1:29" ht="15" hidden="1" x14ac:dyDescent="0.35">
      <c r="A21" s="16" t="s">
        <v>73</v>
      </c>
      <c r="C21">
        <f>SQRT(1/C14+1/E14+1/C15+1/E15)</f>
        <v>1.5835279211178055</v>
      </c>
      <c r="D21" t="e">
        <f t="shared" ref="D21:V21" si="0">SQRT(1/D14+1/F14+1/D15+1/F15)</f>
        <v>#DIV/0!</v>
      </c>
      <c r="Q21">
        <f t="shared" si="0"/>
        <v>1.4568277407323389</v>
      </c>
      <c r="R21" t="e">
        <f t="shared" si="0"/>
        <v>#DIV/0!</v>
      </c>
      <c r="U21"/>
      <c r="V21">
        <f t="shared" si="0"/>
        <v>1.2791543906253771</v>
      </c>
    </row>
    <row r="22" spans="1:29" ht="15" hidden="1" x14ac:dyDescent="0.35">
      <c r="A22" s="16" t="s">
        <v>43</v>
      </c>
      <c r="C22">
        <f>LN(C16)</f>
        <v>1.3862943611198915</v>
      </c>
      <c r="D22" t="e">
        <f t="shared" ref="D22:V22" si="1">LN(D16)</f>
        <v>#NUM!</v>
      </c>
      <c r="Q22">
        <f t="shared" si="1"/>
        <v>2.2914117923959205</v>
      </c>
      <c r="R22" t="e">
        <f t="shared" si="1"/>
        <v>#NUM!</v>
      </c>
      <c r="U22"/>
      <c r="V22">
        <f t="shared" si="1"/>
        <v>3.1023420086122493</v>
      </c>
    </row>
    <row r="23" spans="1:29" hidden="1" x14ac:dyDescent="0.3">
      <c r="A23" t="s">
        <v>74</v>
      </c>
      <c r="C23">
        <f>EXP(C22-1.96*C21)</f>
        <v>0.17952866965682035</v>
      </c>
      <c r="D23" t="e">
        <f t="shared" ref="D23:V23" si="2">EXP(D22-1.96*D21)</f>
        <v>#NUM!</v>
      </c>
      <c r="Q23">
        <f t="shared" si="2"/>
        <v>0.56894552962928946</v>
      </c>
      <c r="R23" t="e">
        <f t="shared" si="2"/>
        <v>#NUM!</v>
      </c>
      <c r="U23"/>
      <c r="V23">
        <f t="shared" si="2"/>
        <v>1.8133925047920745</v>
      </c>
    </row>
    <row r="24" spans="1:29" ht="15" hidden="1" x14ac:dyDescent="0.35">
      <c r="A24" s="16" t="s">
        <v>75</v>
      </c>
      <c r="C24">
        <f>EXP(C22+1.96*C21)</f>
        <v>89.122255685317427</v>
      </c>
      <c r="D24" t="e">
        <f t="shared" ref="D24:V24" si="3">EXP(D22+1.96*D21)</f>
        <v>#NUM!</v>
      </c>
      <c r="Q24">
        <f t="shared" si="3"/>
        <v>171.87958840366969</v>
      </c>
      <c r="R24" t="e">
        <f t="shared" si="3"/>
        <v>#NUM!</v>
      </c>
      <c r="U24"/>
      <c r="V24">
        <f t="shared" si="3"/>
        <v>273.00349962390777</v>
      </c>
    </row>
    <row r="25" spans="1:29" ht="15" x14ac:dyDescent="0.35">
      <c r="A25" s="16"/>
      <c r="K25" s="15"/>
    </row>
    <row r="26" spans="1:29" ht="15" x14ac:dyDescent="0.35">
      <c r="A26" s="16"/>
    </row>
    <row r="29" spans="1:29" x14ac:dyDescent="0.3">
      <c r="C29" s="47"/>
      <c r="D29" s="47"/>
    </row>
  </sheetData>
  <mergeCells count="17">
    <mergeCell ref="A14:A15"/>
    <mergeCell ref="Q12:S12"/>
    <mergeCell ref="O14:O15"/>
    <mergeCell ref="C11:E11"/>
    <mergeCell ref="AA11:AC11"/>
    <mergeCell ref="AA12:AC12"/>
    <mergeCell ref="AA16:AC16"/>
    <mergeCell ref="V11:X11"/>
    <mergeCell ref="V12:X12"/>
    <mergeCell ref="V16:X16"/>
    <mergeCell ref="B18:E18"/>
    <mergeCell ref="P18:S18"/>
    <mergeCell ref="U18:X18"/>
    <mergeCell ref="C16:E16"/>
    <mergeCell ref="Q11:S11"/>
    <mergeCell ref="Q16:S16"/>
    <mergeCell ref="C12:E12"/>
  </mergeCells>
  <phoneticPr fontId="0" type="noConversion"/>
  <conditionalFormatting sqref="AA15">
    <cfRule type="cellIs" dxfId="2" priority="5" operator="equal">
      <formula>0</formula>
    </cfRule>
    <cfRule type="cellIs" dxfId="1" priority="4" operator="notEqual">
      <formula>0</formula>
    </cfRule>
  </conditionalFormatting>
  <conditionalFormatting sqref="AC14">
    <cfRule type="cellIs" dxfId="0" priority="1" operator="not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N38"/>
  <sheetViews>
    <sheetView showGridLines="0" topLeftCell="A2" zoomScale="190" zoomScaleNormal="190" workbookViewId="0">
      <selection activeCell="C4" sqref="C4"/>
    </sheetView>
  </sheetViews>
  <sheetFormatPr baseColWidth="10" defaultColWidth="11.4609375" defaultRowHeight="12.45" outlineLevelCol="1" x14ac:dyDescent="0.3"/>
  <cols>
    <col min="1" max="1" width="25.69140625" customWidth="1"/>
    <col min="2" max="2" width="3.3046875" customWidth="1"/>
    <col min="4" max="4" width="13.3046875" customWidth="1"/>
    <col min="5" max="5" width="9.3046875" customWidth="1"/>
    <col min="8" max="13" width="11.53515625" hidden="1" customWidth="1" outlineLevel="1"/>
    <col min="14" max="14" width="11.53515625" customWidth="1" collapsed="1"/>
  </cols>
  <sheetData>
    <row r="1" spans="1:14" ht="22.3" x14ac:dyDescent="0.5">
      <c r="A1" s="5" t="s">
        <v>35</v>
      </c>
      <c r="N1" t="s">
        <v>29</v>
      </c>
    </row>
    <row r="2" spans="1:14" x14ac:dyDescent="0.3">
      <c r="C2" s="11" t="s">
        <v>62</v>
      </c>
      <c r="D2" s="10" t="s">
        <v>66</v>
      </c>
      <c r="E2" t="s">
        <v>67</v>
      </c>
      <c r="I2" t="s">
        <v>2</v>
      </c>
      <c r="K2" t="s">
        <v>22</v>
      </c>
    </row>
    <row r="3" spans="1:14" x14ac:dyDescent="0.3">
      <c r="A3" s="4" t="s">
        <v>55</v>
      </c>
      <c r="C3" s="56">
        <v>1</v>
      </c>
      <c r="D3" s="54" t="s">
        <v>64</v>
      </c>
      <c r="E3" s="54" t="s">
        <v>65</v>
      </c>
      <c r="H3" s="11" t="s">
        <v>23</v>
      </c>
      <c r="I3" t="s">
        <v>36</v>
      </c>
      <c r="K3" s="12"/>
      <c r="L3" s="6"/>
    </row>
    <row r="4" spans="1:14" x14ac:dyDescent="0.3">
      <c r="A4" s="4" t="s">
        <v>56</v>
      </c>
      <c r="C4" s="50">
        <v>1</v>
      </c>
      <c r="D4" s="38"/>
      <c r="H4" s="11" t="s">
        <v>23</v>
      </c>
      <c r="I4" t="s">
        <v>38</v>
      </c>
      <c r="K4" s="12"/>
      <c r="L4" s="6"/>
    </row>
    <row r="5" spans="1:14" x14ac:dyDescent="0.3">
      <c r="A5" s="4" t="s">
        <v>57</v>
      </c>
      <c r="C5" s="51">
        <v>0.18</v>
      </c>
      <c r="D5" s="11" t="s">
        <v>23</v>
      </c>
      <c r="E5" t="s">
        <v>54</v>
      </c>
      <c r="H5" s="11" t="s">
        <v>23</v>
      </c>
      <c r="I5" t="s">
        <v>6</v>
      </c>
      <c r="K5" s="12"/>
      <c r="L5" s="6"/>
    </row>
    <row r="6" spans="1:14" x14ac:dyDescent="0.3">
      <c r="A6" s="4" t="s">
        <v>58</v>
      </c>
      <c r="C6" s="52"/>
      <c r="D6" s="11" t="s">
        <v>23</v>
      </c>
      <c r="E6" t="s">
        <v>49</v>
      </c>
      <c r="H6" s="11" t="s">
        <v>23</v>
      </c>
      <c r="I6" t="s">
        <v>37</v>
      </c>
      <c r="K6" s="12"/>
    </row>
    <row r="7" spans="1:14" x14ac:dyDescent="0.3">
      <c r="A7" s="4" t="s">
        <v>59</v>
      </c>
      <c r="C7" s="53">
        <v>2</v>
      </c>
      <c r="D7" s="11" t="s">
        <v>23</v>
      </c>
      <c r="E7" t="s">
        <v>50</v>
      </c>
      <c r="H7" s="11" t="s">
        <v>52</v>
      </c>
      <c r="I7" s="11" t="s">
        <v>53</v>
      </c>
      <c r="J7" s="11" t="s">
        <v>39</v>
      </c>
      <c r="K7" s="12"/>
      <c r="L7" s="7"/>
    </row>
    <row r="8" spans="1:14" x14ac:dyDescent="0.3">
      <c r="A8" s="4" t="s">
        <v>60</v>
      </c>
      <c r="C8" s="49">
        <v>0.95</v>
      </c>
      <c r="D8" s="4"/>
      <c r="E8" s="4" t="str">
        <f>L9</f>
        <v>The proportion of controls exposed</v>
      </c>
      <c r="H8" s="37">
        <f>NORMINV(1-(1-C8)/2,0,1)</f>
        <v>1.9599639845400536</v>
      </c>
      <c r="I8" s="37">
        <f>NORMINV(C9,0,1)</f>
        <v>0.84162123357291474</v>
      </c>
      <c r="J8" s="37">
        <f>H8+I8</f>
        <v>2.8015852181129683</v>
      </c>
    </row>
    <row r="9" spans="1:14" x14ac:dyDescent="0.3">
      <c r="A9" s="4" t="s">
        <v>61</v>
      </c>
      <c r="C9" s="49">
        <v>0.8</v>
      </c>
      <c r="D9" s="4"/>
      <c r="E9" s="4" t="s">
        <v>51</v>
      </c>
      <c r="I9" s="11" t="s">
        <v>46</v>
      </c>
      <c r="J9" s="11" t="s">
        <v>47</v>
      </c>
      <c r="K9" s="11" t="s">
        <v>44</v>
      </c>
      <c r="L9" t="str">
        <f>IF(L11=1,"The proportion of cases exposed",IF(L11=2,"The proportion of controls exposed","The odds ratio"))</f>
        <v>The proportion of controls exposed</v>
      </c>
    </row>
    <row r="10" spans="1:14" x14ac:dyDescent="0.3">
      <c r="I10" s="11" t="s">
        <v>21</v>
      </c>
      <c r="J10" s="11" t="s">
        <v>21</v>
      </c>
      <c r="K10" s="11" t="s">
        <v>45</v>
      </c>
      <c r="L10" s="11" t="s">
        <v>48</v>
      </c>
    </row>
    <row r="11" spans="1:14" ht="15" x14ac:dyDescent="0.35">
      <c r="A11" s="18"/>
      <c r="B11" s="19"/>
      <c r="C11" s="116" t="str">
        <f>$D$3</f>
        <v>malformation</v>
      </c>
      <c r="D11" s="116"/>
      <c r="E11" s="19"/>
      <c r="F11" s="20"/>
      <c r="I11" s="4">
        <v>1</v>
      </c>
      <c r="J11" s="4">
        <v>2</v>
      </c>
      <c r="K11" s="4">
        <v>3</v>
      </c>
      <c r="L11" s="55">
        <v>2</v>
      </c>
    </row>
    <row r="12" spans="1:14" x14ac:dyDescent="0.3">
      <c r="A12" s="21"/>
      <c r="B12" s="22"/>
      <c r="C12" s="22" t="s">
        <v>33</v>
      </c>
      <c r="D12" s="22" t="s">
        <v>34</v>
      </c>
      <c r="E12" s="44" t="s">
        <v>63</v>
      </c>
      <c r="F12" s="29"/>
      <c r="H12" s="4" t="s">
        <v>12</v>
      </c>
      <c r="I12" s="7">
        <f>r_*n1_*I13/(I15+r_*I13)</f>
        <v>0</v>
      </c>
      <c r="J12" s="7">
        <f>p*n1_</f>
        <v>0.18</v>
      </c>
      <c r="K12" s="7">
        <f>p*n1_</f>
        <v>0.18</v>
      </c>
      <c r="L12" s="7">
        <f>HLOOKUP(L$11,I$11:K$15,2)</f>
        <v>0.18</v>
      </c>
    </row>
    <row r="13" spans="1:14" ht="15" x14ac:dyDescent="0.35">
      <c r="A13" s="117" t="str">
        <f>$E$3</f>
        <v>color hair</v>
      </c>
      <c r="B13" s="2" t="s">
        <v>0</v>
      </c>
      <c r="C13" s="26">
        <f>L12</f>
        <v>0.18</v>
      </c>
      <c r="D13" s="1">
        <f>L13</f>
        <v>9.8901098901098897E-2</v>
      </c>
      <c r="E13" s="27">
        <f>a_+b_</f>
        <v>0.27890109890109888</v>
      </c>
      <c r="F13" s="39"/>
      <c r="H13" s="4" t="s">
        <v>40</v>
      </c>
      <c r="I13" s="7">
        <f>n2_*p2_</f>
        <v>0</v>
      </c>
      <c r="J13" s="7">
        <f>a_*n2_/(r_*c_+a_)</f>
        <v>9.8901098901098897E-2</v>
      </c>
      <c r="K13" s="7">
        <f>n2_*p2_</f>
        <v>0</v>
      </c>
      <c r="L13" s="7">
        <f>HLOOKUP(L$11,I$11:K$15,3)</f>
        <v>9.8901098901098897E-2</v>
      </c>
    </row>
    <row r="14" spans="1:14" ht="15" x14ac:dyDescent="0.35">
      <c r="A14" s="118"/>
      <c r="B14" s="2" t="s">
        <v>1</v>
      </c>
      <c r="C14" s="8">
        <f>L14</f>
        <v>0.82000000000000006</v>
      </c>
      <c r="D14" s="3">
        <f>L15</f>
        <v>0.90109890109890112</v>
      </c>
      <c r="E14" s="27">
        <f>c_+d_</f>
        <v>1.7210989010989013</v>
      </c>
      <c r="F14" s="39"/>
      <c r="H14" s="4" t="s">
        <v>13</v>
      </c>
      <c r="I14" s="7">
        <f>n1_-I12</f>
        <v>1</v>
      </c>
      <c r="J14" s="7">
        <f>n1_-J12</f>
        <v>0.82000000000000006</v>
      </c>
      <c r="K14" s="7">
        <f>n1_-K12</f>
        <v>0.82000000000000006</v>
      </c>
      <c r="L14" s="7">
        <f>HLOOKUP(L$11,I$11:K$15,4)</f>
        <v>0.82000000000000006</v>
      </c>
    </row>
    <row r="15" spans="1:14" ht="15" x14ac:dyDescent="0.35">
      <c r="A15" s="45" t="s">
        <v>63</v>
      </c>
      <c r="B15" s="30"/>
      <c r="C15" s="31">
        <f>n1_</f>
        <v>1</v>
      </c>
      <c r="D15" s="31">
        <f>n1_*m_</f>
        <v>1</v>
      </c>
      <c r="E15" s="27">
        <f>C15+n2_</f>
        <v>2</v>
      </c>
      <c r="F15" s="29"/>
      <c r="H15" s="4" t="s">
        <v>41</v>
      </c>
      <c r="I15" s="7">
        <f>n2_-I13</f>
        <v>1</v>
      </c>
      <c r="J15" s="7">
        <f>n2_-J13</f>
        <v>0.90109890109890112</v>
      </c>
      <c r="K15" s="7">
        <f>n2_-K13</f>
        <v>1</v>
      </c>
      <c r="L15" s="7">
        <f>HLOOKUP(L$11,I$11:K$15,5)</f>
        <v>0.90109890109890112</v>
      </c>
    </row>
    <row r="16" spans="1:14" x14ac:dyDescent="0.3">
      <c r="A16" s="32"/>
      <c r="B16" s="33" t="s">
        <v>27</v>
      </c>
      <c r="C16" s="36">
        <f>C13/C15</f>
        <v>0.18</v>
      </c>
      <c r="D16" s="36">
        <f>D13/D15</f>
        <v>9.8901098901098897E-2</v>
      </c>
      <c r="E16" s="43">
        <f>E13/E15</f>
        <v>0.13945054945054944</v>
      </c>
      <c r="F16" s="34"/>
      <c r="I16" s="40" t="s">
        <v>32</v>
      </c>
      <c r="J16" s="40" t="s">
        <v>42</v>
      </c>
      <c r="K16" s="40" t="s">
        <v>19</v>
      </c>
      <c r="L16" s="40" t="s">
        <v>20</v>
      </c>
    </row>
    <row r="17" spans="1:12" x14ac:dyDescent="0.3">
      <c r="H17" s="4" t="s">
        <v>43</v>
      </c>
      <c r="I17">
        <f>LN(I18)</f>
        <v>0.69314718055994529</v>
      </c>
      <c r="J17">
        <f>SQRT(1/a_+1/b_+1/c_+1/d_)</f>
        <v>4.242161590433537</v>
      </c>
      <c r="K17">
        <f>I17-$J$8*J17</f>
        <v>-11.191630024045253</v>
      </c>
      <c r="L17">
        <f>I17+$J$8*J17</f>
        <v>12.577924385165144</v>
      </c>
    </row>
    <row r="18" spans="1:12" ht="15.45" x14ac:dyDescent="0.4">
      <c r="A18" s="10" t="s">
        <v>24</v>
      </c>
      <c r="B18" s="48">
        <v>2</v>
      </c>
      <c r="D18" s="9" t="str">
        <f>"OR="&amp;ROUND(I18,B18)&amp;", "&amp;100*C8&amp;"% CI=("&amp;ROUND(K18,B18)&amp;" , "&amp;ROUND(L18,B18)&amp;"), power="&amp;100*C9&amp;"%"</f>
        <v>OR=2, 95% CI=(0 , 290083.59), power=80%</v>
      </c>
      <c r="H18" s="4" t="s">
        <v>21</v>
      </c>
      <c r="I18">
        <f>(a_*d_)/(b_*c_)</f>
        <v>2</v>
      </c>
      <c r="K18">
        <f>EXP(K17)</f>
        <v>1.3789129080252466E-5</v>
      </c>
      <c r="L18">
        <f>EXP(L17)</f>
        <v>290083.58517206402</v>
      </c>
    </row>
    <row r="19" spans="1:12" ht="15.45" x14ac:dyDescent="0.4">
      <c r="D19" s="9"/>
    </row>
    <row r="22" spans="1:12" ht="17.600000000000001" x14ac:dyDescent="0.4">
      <c r="A22" s="17" t="s">
        <v>31</v>
      </c>
    </row>
    <row r="23" spans="1:12" ht="15" x14ac:dyDescent="0.35">
      <c r="A23" s="16" t="str">
        <f>"We want to study the association between "&amp;E3&amp;" and "&amp;D3&amp;" in terms of an odds ratio."</f>
        <v>We want to study the association between color hair and malformation in terms of an odds ratio.</v>
      </c>
    </row>
    <row r="24" spans="1:12" ht="15" x14ac:dyDescent="0.35">
      <c r="A24" s="16" t="str">
        <f>"In a study with "&amp;m_&amp;" controls per case, where "&amp;ROUND(100*C16,2)&amp;"% of the cases are exposed to "&amp;E3&amp;" , "</f>
        <v xml:space="preserve">In a study with 1 controls per case, where 18% of the cases are exposed to color hair , </v>
      </c>
    </row>
    <row r="25" spans="1:12" ht="15" x14ac:dyDescent="0.35">
      <c r="A25" s="16" t="str">
        <f xml:space="preserve"> "and "&amp;ROUND(100*D16,2)&amp;"% of the controls are exposed ("&amp;ROUND(E16*100,2)&amp;" % overall), "&amp;n1_&amp;" cases+"&amp;n2_&amp;" controls are required to "</f>
        <v xml:space="preserve">and 9.89% of the controls are exposed (13.95 % overall), 1 cases+1 controls are required to </v>
      </c>
      <c r="J25" s="15"/>
    </row>
    <row r="26" spans="1:12" ht="15" x14ac:dyDescent="0.35">
      <c r="A26" s="16" t="str">
        <f>"find an odds ratio of "&amp;ROUND(I18,B18)&amp;" with a "&amp;100*C8&amp;"% confidence intervall that does not include 1, with a power of "&amp;100*C9&amp;"%"</f>
        <v>find an odds ratio of 2 with a 95% confidence intervall that does not include 1, with a power of 80%</v>
      </c>
    </row>
    <row r="27" spans="1:12" ht="15" x14ac:dyDescent="0.35">
      <c r="A27" s="16"/>
      <c r="I27" s="13"/>
      <c r="J27" s="15"/>
    </row>
    <row r="28" spans="1:12" ht="15" x14ac:dyDescent="0.35">
      <c r="A28" s="16"/>
      <c r="I28" s="14"/>
      <c r="J28" s="15"/>
    </row>
    <row r="29" spans="1:12" ht="15" x14ac:dyDescent="0.35">
      <c r="A29" s="35"/>
      <c r="C29" s="42"/>
      <c r="E29" s="41"/>
    </row>
    <row r="30" spans="1:12" ht="15" x14ac:dyDescent="0.35">
      <c r="A30" s="35"/>
      <c r="C30" s="42"/>
      <c r="E30" s="41"/>
    </row>
    <row r="31" spans="1:12" ht="15" x14ac:dyDescent="0.35">
      <c r="A31" s="35"/>
      <c r="C31" s="42"/>
      <c r="E31" s="41"/>
    </row>
    <row r="32" spans="1:12" ht="15" x14ac:dyDescent="0.35">
      <c r="A32" s="35"/>
      <c r="C32" s="42"/>
      <c r="E32" s="41"/>
    </row>
    <row r="33" spans="3:5" ht="15" x14ac:dyDescent="0.35">
      <c r="C33" s="42"/>
      <c r="E33" s="41"/>
    </row>
    <row r="34" spans="3:5" ht="15" x14ac:dyDescent="0.35">
      <c r="C34" s="42"/>
      <c r="E34" s="41"/>
    </row>
    <row r="35" spans="3:5" ht="15" x14ac:dyDescent="0.35">
      <c r="C35" s="42"/>
      <c r="E35" s="41"/>
    </row>
    <row r="36" spans="3:5" ht="15" x14ac:dyDescent="0.35">
      <c r="C36" s="42"/>
      <c r="E36" s="41"/>
    </row>
    <row r="37" spans="3:5" ht="15" x14ac:dyDescent="0.35">
      <c r="C37" s="42"/>
      <c r="E37" s="41"/>
    </row>
    <row r="38" spans="3:5" ht="15" x14ac:dyDescent="0.35">
      <c r="C38" s="42"/>
      <c r="E38" s="41"/>
    </row>
  </sheetData>
  <sheetProtection sheet="1" objects="1" scenarios="1"/>
  <mergeCells count="2">
    <mergeCell ref="C11:D11"/>
    <mergeCell ref="A13:A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Group Box 2">
              <controlPr locked="0" defaultSize="0" autoFill="0" autoPict="0">
                <anchor moveWithCells="1">
                  <from>
                    <xdr:col>3</xdr:col>
                    <xdr:colOff>32657</xdr:colOff>
                    <xdr:row>3</xdr:row>
                    <xdr:rowOff>136071</xdr:rowOff>
                  </from>
                  <to>
                    <xdr:col>3</xdr:col>
                    <xdr:colOff>440871</xdr:colOff>
                    <xdr:row>7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Option Button 3">
              <controlPr locked="0" defaultSize="0" autoFill="0" autoLine="0" autoPict="0" macro="[0]!Alternativknapp3_Klikk">
                <anchor moveWithCells="1">
                  <from>
                    <xdr:col>3</xdr:col>
                    <xdr:colOff>157843</xdr:colOff>
                    <xdr:row>3</xdr:row>
                    <xdr:rowOff>157843</xdr:rowOff>
                  </from>
                  <to>
                    <xdr:col>4</xdr:col>
                    <xdr:colOff>174171</xdr:colOff>
                    <xdr:row>5</xdr:row>
                    <xdr:rowOff>32657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Option Button 4">
              <controlPr locked="0" defaultSize="0" autoFill="0" autoLine="0" autoPict="0" macro="[0]!Alternativknapp4_Klikk">
                <anchor moveWithCells="1">
                  <from>
                    <xdr:col>3</xdr:col>
                    <xdr:colOff>157843</xdr:colOff>
                    <xdr:row>4</xdr:row>
                    <xdr:rowOff>146957</xdr:rowOff>
                  </from>
                  <to>
                    <xdr:col>4</xdr:col>
                    <xdr:colOff>174171</xdr:colOff>
                    <xdr:row>6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Option Button 5">
              <controlPr locked="0" defaultSize="0" autoFill="0" autoLine="0" autoPict="0" macro="[0]!Alternativknapp5_Klikk">
                <anchor moveWithCells="1">
                  <from>
                    <xdr:col>3</xdr:col>
                    <xdr:colOff>157843</xdr:colOff>
                    <xdr:row>5</xdr:row>
                    <xdr:rowOff>136071</xdr:rowOff>
                  </from>
                  <to>
                    <xdr:col>4</xdr:col>
                    <xdr:colOff>174171</xdr:colOff>
                    <xdr:row>7</xdr:row>
                    <xdr:rowOff>21771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17</vt:i4>
      </vt:variant>
    </vt:vector>
  </HeadingPairs>
  <TitlesOfParts>
    <vt:vector size="19" baseType="lpstr">
      <vt:lpstr>OR, RR</vt:lpstr>
      <vt:lpstr>Case-Control OR</vt:lpstr>
      <vt:lpstr>a_</vt:lpstr>
      <vt:lpstr>b_</vt:lpstr>
      <vt:lpstr>c_</vt:lpstr>
      <vt:lpstr>d_</vt:lpstr>
      <vt:lpstr>'OR, RR'!e</vt:lpstr>
      <vt:lpstr>m_</vt:lpstr>
      <vt:lpstr>'OR, RR'!n</vt:lpstr>
      <vt:lpstr>n1_</vt:lpstr>
      <vt:lpstr>n2_</vt:lpstr>
      <vt:lpstr>'OR, RR'!p</vt:lpstr>
      <vt:lpstr>p</vt:lpstr>
      <vt:lpstr>p2_</vt:lpstr>
      <vt:lpstr>'OR, RR'!q</vt:lpstr>
      <vt:lpstr>'OR, RR'!r_</vt:lpstr>
      <vt:lpstr>r_</vt:lpstr>
      <vt:lpstr>'OR, RR'!s</vt:lpstr>
      <vt:lpstr>'OR, RR'!Utskriftsområde</vt:lpstr>
    </vt:vector>
  </TitlesOfParts>
  <Company>FHI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hest</dc:creator>
  <cp:lastModifiedBy>Hein Stigum</cp:lastModifiedBy>
  <cp:lastPrinted>2004-06-23T12:11:28Z</cp:lastPrinted>
  <dcterms:created xsi:type="dcterms:W3CDTF">2004-04-27T12:26:40Z</dcterms:created>
  <dcterms:modified xsi:type="dcterms:W3CDTF">2023-04-10T17:31:18Z</dcterms:modified>
</cp:coreProperties>
</file>