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4880" windowHeight="5790" tabRatio="679"/>
  </bookViews>
  <sheets>
    <sheet name="Fordeling" sheetId="1" r:id="rId1"/>
    <sheet name="Utdanning" sheetId="2" r:id="rId2"/>
    <sheet name="Forskning rekrutteringst." sheetId="3" r:id="rId3"/>
    <sheet name="Forskning øremerking" sheetId="4" r:id="rId4"/>
    <sheet name="Forskning resultat" sheetId="6" r:id="rId5"/>
    <sheet name="Ledelse og admin" sheetId="5" r:id="rId6"/>
  </sheets>
  <calcPr calcId="145621"/>
</workbook>
</file>

<file path=xl/calcChain.xml><?xml version="1.0" encoding="utf-8"?>
<calcChain xmlns="http://schemas.openxmlformats.org/spreadsheetml/2006/main">
  <c r="J6" i="1" l="1"/>
  <c r="D9" i="3" l="1"/>
  <c r="C9" i="3"/>
  <c r="B6" i="5" l="1"/>
  <c r="B5" i="5"/>
  <c r="K22" i="6"/>
  <c r="K39" i="6"/>
  <c r="E15" i="2" l="1"/>
  <c r="B5" i="1"/>
  <c r="E16" i="2"/>
  <c r="E20" i="2" s="1"/>
  <c r="B4" i="1"/>
  <c r="E14" i="2"/>
  <c r="B6" i="1" l="1"/>
  <c r="D7" i="3" l="1"/>
  <c r="C17" i="1"/>
  <c r="E6" i="1" s="1"/>
  <c r="C15" i="1"/>
  <c r="B9" i="1"/>
  <c r="B7" i="1"/>
  <c r="B8" i="1"/>
  <c r="C8" i="2"/>
  <c r="K34" i="6"/>
  <c r="K17" i="6"/>
  <c r="K15" i="6"/>
  <c r="K13" i="6"/>
  <c r="K11" i="6"/>
  <c r="K9" i="6"/>
  <c r="K7" i="6"/>
  <c r="K5" i="6"/>
  <c r="K32" i="6"/>
  <c r="K30" i="6"/>
  <c r="K28" i="6"/>
  <c r="K26" i="6"/>
  <c r="K24" i="6"/>
  <c r="K49" i="6"/>
  <c r="K47" i="6"/>
  <c r="K45" i="6"/>
  <c r="K43" i="6"/>
  <c r="K41" i="6"/>
  <c r="K67" i="6"/>
  <c r="K65" i="6"/>
  <c r="K63" i="6"/>
  <c r="K61" i="6"/>
  <c r="K59" i="6"/>
  <c r="K57" i="6"/>
  <c r="D3" i="3"/>
  <c r="D4" i="3"/>
  <c r="D5" i="3"/>
  <c r="D6" i="3"/>
  <c r="D8" i="3"/>
  <c r="D2" i="3"/>
  <c r="C6" i="1" l="1"/>
  <c r="C4" i="1"/>
  <c r="C5" i="1"/>
  <c r="E7" i="1"/>
  <c r="C7" i="1"/>
  <c r="E10" i="1"/>
  <c r="C8" i="1"/>
  <c r="C10" i="1"/>
  <c r="B7" i="2"/>
  <c r="B2" i="2"/>
  <c r="B3" i="2"/>
  <c r="B6" i="2"/>
  <c r="B5" i="2"/>
  <c r="B4" i="2"/>
  <c r="E8" i="1"/>
  <c r="E5" i="1"/>
  <c r="E4" i="1"/>
  <c r="E11" i="1" l="1"/>
  <c r="G9" i="1"/>
  <c r="H9" i="1" l="1"/>
  <c r="K9" i="1"/>
  <c r="K10" i="4"/>
  <c r="J11" i="1"/>
  <c r="N7" i="4"/>
  <c r="B27" i="5"/>
  <c r="E17" i="5"/>
  <c r="B10" i="5"/>
  <c r="L10" i="4"/>
  <c r="M10" i="4"/>
  <c r="O3" i="4"/>
  <c r="D4" i="1" s="1"/>
  <c r="I69" i="6"/>
  <c r="H69" i="6"/>
  <c r="G69" i="6"/>
  <c r="F69" i="6"/>
  <c r="E69" i="6"/>
  <c r="D69" i="6"/>
  <c r="C69" i="6"/>
  <c r="B69" i="6"/>
  <c r="J69" i="6" s="1"/>
  <c r="K69" i="6" s="1"/>
  <c r="J67" i="6"/>
  <c r="J65" i="6"/>
  <c r="J63" i="6"/>
  <c r="J61" i="6"/>
  <c r="J59" i="6"/>
  <c r="J57" i="6"/>
  <c r="I51" i="6"/>
  <c r="H51" i="6"/>
  <c r="G51" i="6"/>
  <c r="F51" i="6"/>
  <c r="E51" i="6"/>
  <c r="D51" i="6"/>
  <c r="C51" i="6"/>
  <c r="B51" i="6"/>
  <c r="J51" i="6" s="1"/>
  <c r="J49" i="6"/>
  <c r="J47" i="6"/>
  <c r="J45" i="6"/>
  <c r="J43" i="6"/>
  <c r="J41" i="6"/>
  <c r="J39" i="6"/>
  <c r="I34" i="6"/>
  <c r="H34" i="6"/>
  <c r="G34" i="6"/>
  <c r="F34" i="6"/>
  <c r="E34" i="6"/>
  <c r="D34" i="6"/>
  <c r="C34" i="6"/>
  <c r="B34" i="6"/>
  <c r="J34" i="6" s="1"/>
  <c r="J32" i="6"/>
  <c r="J30" i="6"/>
  <c r="J28" i="6"/>
  <c r="J26" i="6"/>
  <c r="J24" i="6"/>
  <c r="J22" i="6"/>
  <c r="I17" i="6"/>
  <c r="H17" i="6"/>
  <c r="G17" i="6"/>
  <c r="F17" i="6"/>
  <c r="D17" i="6"/>
  <c r="C17" i="6"/>
  <c r="B17" i="6"/>
  <c r="J15" i="6"/>
  <c r="J13" i="6"/>
  <c r="J11" i="6"/>
  <c r="E11" i="6"/>
  <c r="E9" i="6"/>
  <c r="J9" i="6" s="1"/>
  <c r="J7" i="6"/>
  <c r="E7" i="6"/>
  <c r="E17" i="6" s="1"/>
  <c r="J17" i="6" s="1"/>
  <c r="J5" i="6"/>
  <c r="I10" i="4"/>
  <c r="N10" i="4"/>
  <c r="J10" i="4"/>
  <c r="H10" i="4"/>
  <c r="G10" i="4"/>
  <c r="F10" i="4"/>
  <c r="E10" i="4"/>
  <c r="D10" i="4"/>
  <c r="C10" i="4"/>
  <c r="B10" i="4"/>
  <c r="O4" i="4"/>
  <c r="D5" i="1" s="1"/>
  <c r="O5" i="4"/>
  <c r="D6" i="1" s="1"/>
  <c r="O6" i="4"/>
  <c r="D7" i="1" s="1"/>
  <c r="O7" i="4"/>
  <c r="D8" i="1" s="1"/>
  <c r="O9" i="4"/>
  <c r="D10" i="1" s="1"/>
  <c r="B9" i="3"/>
  <c r="C11" i="1"/>
  <c r="F10" i="1" l="1"/>
  <c r="F11" i="1" s="1"/>
  <c r="K51" i="6"/>
  <c r="M70" i="6" s="1"/>
  <c r="D11" i="1"/>
  <c r="O10" i="4"/>
  <c r="G5" i="1" l="1"/>
  <c r="G6" i="1"/>
  <c r="G4" i="1"/>
  <c r="G7" i="1"/>
  <c r="K7" i="1" l="1"/>
  <c r="L7" i="1" s="1"/>
  <c r="H7" i="1"/>
  <c r="K4" i="1"/>
  <c r="L4" i="1" s="1"/>
  <c r="H4" i="1"/>
  <c r="K6" i="1"/>
  <c r="L6" i="1" s="1"/>
  <c r="H6" i="1"/>
  <c r="K5" i="1"/>
  <c r="L5" i="1" s="1"/>
  <c r="H5" i="1"/>
  <c r="G10" i="1"/>
  <c r="K10" i="1" l="1"/>
  <c r="L10" i="1" s="1"/>
  <c r="H10" i="1"/>
  <c r="G8" i="1"/>
  <c r="B11" i="1"/>
  <c r="G11" i="1" s="1"/>
  <c r="K8" i="1" l="1"/>
  <c r="K11" i="1" s="1"/>
  <c r="L11" i="1" s="1"/>
  <c r="H8" i="1"/>
  <c r="H11" i="1" s="1"/>
  <c r="L8" i="1" l="1"/>
</calcChain>
</file>

<file path=xl/comments1.xml><?xml version="1.0" encoding="utf-8"?>
<comments xmlns="http://schemas.openxmlformats.org/spreadsheetml/2006/main">
  <authors>
    <author>Halvor Fahle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Halvor Fahle:
Disputaser fra Biotek/NCMM</t>
        </r>
        <r>
          <rPr>
            <sz val="9"/>
            <color indexed="81"/>
            <rFont val="Tahoma"/>
            <family val="2"/>
          </rPr>
          <t xml:space="preserve">
Hanne Kim Skjeldam (Klinmed)
Karen Henjum (Klinmed)
Maria Elisabeth Kalland (Klinmed)
Kristoffer Watten Brudvik (Klinmed)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3470, 3471, 3472, 3473, 3474, 3479.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3470, 3471, 3472, 3473, 3474, 3479.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3400, 3403, 3404, 3406, 3407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3400, 3403, 3404, 3406, 3407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 3401 og 3402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 3401 og 3402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3420, 3421, 3422, 3423, 3426</t>
        </r>
      </text>
    </comment>
  </commentList>
</comments>
</file>

<file path=xl/comments2.xml><?xml version="1.0" encoding="utf-8"?>
<comments xmlns="http://schemas.openxmlformats.org/spreadsheetml/2006/main">
  <authors>
    <author>Halvor Fahle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Sogn Arena: 6.169
Søsterhjemmet: 910
Nydalen Allé: 1.526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Økt med 300 ifm forpliktelser fra studiedekanmøte</t>
        </r>
      </text>
    </comment>
  </commentList>
</comments>
</file>

<file path=xl/sharedStrings.xml><?xml version="1.0" encoding="utf-8"?>
<sst xmlns="http://schemas.openxmlformats.org/spreadsheetml/2006/main" count="174" uniqueCount="113">
  <si>
    <t>Institutt</t>
  </si>
  <si>
    <t>%</t>
  </si>
  <si>
    <t>Studieplasser og studiepoeng</t>
  </si>
  <si>
    <t>IMB</t>
  </si>
  <si>
    <t>Helsam</t>
  </si>
  <si>
    <t>Klinmed</t>
  </si>
  <si>
    <t>Totalt</t>
  </si>
  <si>
    <t>Bio</t>
  </si>
  <si>
    <t>NCMM</t>
  </si>
  <si>
    <t>Fak</t>
  </si>
  <si>
    <t>Måltall stip</t>
  </si>
  <si>
    <t>Måltall postdoc</t>
  </si>
  <si>
    <t>Sum</t>
  </si>
  <si>
    <t>NCOE</t>
  </si>
  <si>
    <t>ERC</t>
  </si>
  <si>
    <t>Dyre-Pet</t>
  </si>
  <si>
    <t>SFF og nesten-SFF</t>
  </si>
  <si>
    <t>Global Helse</t>
  </si>
  <si>
    <t>Fakultetets interne stimuleringsmidler.</t>
  </si>
  <si>
    <t>Fellesløftet II</t>
  </si>
  <si>
    <t>TOTALT</t>
  </si>
  <si>
    <t>SFF-innfasing</t>
  </si>
  <si>
    <t>Jebsen</t>
  </si>
  <si>
    <t>Fakultetet felles</t>
  </si>
  <si>
    <t>Institutt for medisinske basalfag</t>
  </si>
  <si>
    <t>Institutt for helse og samfunn</t>
  </si>
  <si>
    <t>Institutt for klinisk medisin</t>
  </si>
  <si>
    <t>Bioteknologisenteret</t>
  </si>
  <si>
    <t>Norsk Senter for Molekylærmedisin</t>
  </si>
  <si>
    <t>Sum grunnenhetene</t>
  </si>
  <si>
    <t>Forskerlinjen</t>
  </si>
  <si>
    <t>Forskningskomponenten</t>
  </si>
  <si>
    <t>Hovedark</t>
  </si>
  <si>
    <t>Resultatbasert omfordeling</t>
  </si>
  <si>
    <t>Resultatbasert omfordeling - doktorgrader</t>
  </si>
  <si>
    <t xml:space="preserve">Gjennomsnitt </t>
  </si>
  <si>
    <t>Tildeling</t>
  </si>
  <si>
    <t>Pris pr doktorgrad:</t>
  </si>
  <si>
    <t>Kilde: DBH, avlagte doktorgrader</t>
  </si>
  <si>
    <t>Resultatbasert omfordeling - publikasjoner</t>
  </si>
  <si>
    <t>Gjennomsnitt</t>
  </si>
  <si>
    <t>Pris pr poeng</t>
  </si>
  <si>
    <t>Resultatbasert omfordeling -  NFR</t>
  </si>
  <si>
    <t>Fakultetet Felles</t>
  </si>
  <si>
    <t>Regnskapstall er hentet fra Kuben. Prognosetall fra instituttenes innspill.</t>
  </si>
  <si>
    <t>Pris NFR</t>
  </si>
  <si>
    <t>Resultatbasert omfordeling - EU</t>
  </si>
  <si>
    <t>Pris EU</t>
  </si>
  <si>
    <t>Utsyr</t>
  </si>
  <si>
    <t>kl II</t>
  </si>
  <si>
    <t>kl III</t>
  </si>
  <si>
    <t>Hovedside</t>
  </si>
  <si>
    <t>Lønnskostnader fakultetet felles</t>
  </si>
  <si>
    <t>Felleskostnader</t>
  </si>
  <si>
    <t>Generell drift fakultetet</t>
  </si>
  <si>
    <t>Fakultetsdirektøren 500100</t>
  </si>
  <si>
    <t>Generell reserve</t>
  </si>
  <si>
    <t>Administrative fellestjenester 500101</t>
  </si>
  <si>
    <t>Honorar til studentene</t>
  </si>
  <si>
    <t>Studieseksjonen 500102</t>
  </si>
  <si>
    <t>Honorar til eksterne styremedlemmer</t>
  </si>
  <si>
    <t>Seksjon for forskningsadministrasjon 500103</t>
  </si>
  <si>
    <t>Drift IKT</t>
  </si>
  <si>
    <t>Med Informatikk 500110</t>
  </si>
  <si>
    <t>Drift MED informatikk</t>
  </si>
  <si>
    <t>Helsevitenskapelig utdanningssenter 500114</t>
  </si>
  <si>
    <t>Eksamen profesjonsutdanning</t>
  </si>
  <si>
    <t>Sum lønnskostnader fakultetet felles</t>
  </si>
  <si>
    <t>Sensor profesjonsutdanning</t>
  </si>
  <si>
    <t>Andre driftskostnader studiene</t>
  </si>
  <si>
    <t>Drift fakultetsadministrasjonen</t>
  </si>
  <si>
    <t>Faglige/strategiske satsinger</t>
  </si>
  <si>
    <t>Internhusleie</t>
  </si>
  <si>
    <t>Likestilling</t>
  </si>
  <si>
    <t>Ekstern husleie</t>
  </si>
  <si>
    <t>Studiekvalitet</t>
  </si>
  <si>
    <t>TA strøm, renhold, telefon og post</t>
  </si>
  <si>
    <t>E-Læring</t>
  </si>
  <si>
    <t>Tillsynssensor masterprogrammene</t>
  </si>
  <si>
    <t>Utvikling IKT</t>
  </si>
  <si>
    <t>Sum felleskostnader</t>
  </si>
  <si>
    <t>Kinasamarbeid</t>
  </si>
  <si>
    <t>USA samarbeid</t>
  </si>
  <si>
    <t>NordSør - samarbeid</t>
  </si>
  <si>
    <t>Studentutveksling / lærerutveksling</t>
  </si>
  <si>
    <t>Leder MEDDOCS</t>
  </si>
  <si>
    <t>Omstillingspott Oslo 2014. For årene 2015 - 2017</t>
  </si>
  <si>
    <t>Økning Kinasamarbeid</t>
  </si>
  <si>
    <t>Studiekvalitet HUS</t>
  </si>
  <si>
    <t>Økning kursportefølje PHD</t>
  </si>
  <si>
    <t>Totalt avsatte midler faglige/strategiske satsinger</t>
  </si>
  <si>
    <t>Rekruteringss-tillinger</t>
  </si>
  <si>
    <t>Resultat</t>
  </si>
  <si>
    <t>Ledelse og adm</t>
  </si>
  <si>
    <t>NCMM / BIO</t>
  </si>
  <si>
    <t>Dagens fordeling</t>
  </si>
  <si>
    <t>Rek</t>
  </si>
  <si>
    <t>Avvik beløp</t>
  </si>
  <si>
    <t>Avvik %</t>
  </si>
  <si>
    <t>Forskning øremerking</t>
  </si>
  <si>
    <t>Husleie</t>
  </si>
  <si>
    <t>Pris pr rekrutteringsstilling</t>
  </si>
  <si>
    <t>Utdanning</t>
  </si>
  <si>
    <t>skatt på Rektutteringsstillinger</t>
  </si>
  <si>
    <t>Skatt på Øremerking</t>
  </si>
  <si>
    <t>Skatt på Resultat</t>
  </si>
  <si>
    <t>Strategi</t>
  </si>
  <si>
    <t>Trekk for drift av FAK++</t>
  </si>
  <si>
    <t>EK</t>
  </si>
  <si>
    <t>SK</t>
  </si>
  <si>
    <t>Intro I og II</t>
  </si>
  <si>
    <t>kursportefølje av valgfrie basisfinansierte PhDkurs</t>
  </si>
  <si>
    <t>Trukket 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</si>
</sst>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9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3" fontId="0" fillId="0" borderId="0" xfId="0" applyNumberFormat="1"/>
    <xf numFmtId="0" fontId="3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/>
    <xf numFmtId="3" fontId="2" fillId="0" borderId="0" xfId="0" applyNumberFormat="1" applyFont="1"/>
    <xf numFmtId="0" fontId="2" fillId="0" borderId="0" xfId="0" applyNumberFormat="1" applyFont="1" applyFill="1" applyBorder="1" applyAlignment="1" applyProtection="1"/>
    <xf numFmtId="0" fontId="2" fillId="0" borderId="0" xfId="0" applyFont="1"/>
    <xf numFmtId="3" fontId="2" fillId="0" borderId="1" xfId="0" applyNumberFormat="1" applyFont="1" applyBorder="1"/>
    <xf numFmtId="3" fontId="2" fillId="0" borderId="1" xfId="0" applyNumberFormat="1" applyFont="1" applyFill="1" applyBorder="1"/>
    <xf numFmtId="3" fontId="2" fillId="0" borderId="4" xfId="0" applyNumberFormat="1" applyFont="1" applyBorder="1" applyAlignment="1">
      <alignment horizontal="left"/>
    </xf>
    <xf numFmtId="3" fontId="2" fillId="3" borderId="1" xfId="0" applyNumberFormat="1" applyFont="1" applyFill="1" applyBorder="1"/>
    <xf numFmtId="3" fontId="2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/>
    <xf numFmtId="0" fontId="8" fillId="5" borderId="0" xfId="3" applyNumberFormat="1" applyFont="1" applyFill="1" applyBorder="1" applyAlignment="1" applyProtection="1"/>
    <xf numFmtId="0" fontId="3" fillId="0" borderId="7" xfId="0" applyFont="1" applyBorder="1"/>
    <xf numFmtId="49" fontId="3" fillId="0" borderId="9" xfId="0" applyNumberFormat="1" applyFont="1" applyBorder="1" applyAlignment="1">
      <alignment horizontal="center"/>
    </xf>
    <xf numFmtId="0" fontId="3" fillId="4" borderId="7" xfId="0" applyFont="1" applyFill="1" applyBorder="1"/>
    <xf numFmtId="0" fontId="2" fillId="2" borderId="1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2" fillId="6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2" fillId="6" borderId="1" xfId="4" applyNumberFormat="1" applyFont="1" applyFill="1" applyBorder="1" applyAlignment="1" applyProtection="1"/>
    <xf numFmtId="0" fontId="2" fillId="0" borderId="1" xfId="4" applyNumberFormat="1" applyFont="1" applyFill="1" applyBorder="1" applyAlignment="1" applyProtection="1"/>
    <xf numFmtId="3" fontId="3" fillId="2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3" fontId="2" fillId="4" borderId="1" xfId="0" applyNumberFormat="1" applyFont="1" applyFill="1" applyBorder="1"/>
    <xf numFmtId="3" fontId="3" fillId="7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3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1" fontId="2" fillId="6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6" borderId="1" xfId="0" applyNumberFormat="1" applyFont="1" applyFill="1" applyBorder="1"/>
    <xf numFmtId="1" fontId="2" fillId="0" borderId="1" xfId="0" applyNumberFormat="1" applyFont="1" applyFill="1" applyBorder="1"/>
    <xf numFmtId="1" fontId="2" fillId="2" borderId="1" xfId="0" applyNumberFormat="1" applyFont="1" applyFill="1" applyBorder="1"/>
    <xf numFmtId="0" fontId="3" fillId="7" borderId="1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wrapText="1"/>
    </xf>
    <xf numFmtId="3" fontId="2" fillId="6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/>
    <xf numFmtId="3" fontId="2" fillId="6" borderId="1" xfId="0" applyNumberFormat="1" applyFont="1" applyFill="1" applyBorder="1"/>
    <xf numFmtId="3" fontId="2" fillId="2" borderId="1" xfId="0" applyNumberFormat="1" applyFont="1" applyFill="1" applyBorder="1"/>
    <xf numFmtId="3" fontId="8" fillId="5" borderId="0" xfId="3" applyNumberFormat="1" applyFont="1" applyFill="1" applyAlignment="1" applyProtection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 applyAlignment="1">
      <alignment horizontal="left"/>
    </xf>
    <xf numFmtId="0" fontId="2" fillId="0" borderId="1" xfId="0" applyFont="1" applyFill="1" applyBorder="1"/>
    <xf numFmtId="3" fontId="2" fillId="0" borderId="0" xfId="0" applyNumberFormat="1" applyFont="1" applyFill="1" applyAlignment="1">
      <alignment horizontal="left"/>
    </xf>
    <xf numFmtId="0" fontId="3" fillId="8" borderId="1" xfId="0" applyFont="1" applyFill="1" applyBorder="1"/>
    <xf numFmtId="3" fontId="3" fillId="8" borderId="1" xfId="0" applyNumberFormat="1" applyFont="1" applyFill="1" applyBorder="1"/>
    <xf numFmtId="3" fontId="0" fillId="0" borderId="1" xfId="0" applyNumberFormat="1" applyFill="1" applyBorder="1"/>
    <xf numFmtId="3" fontId="2" fillId="0" borderId="0" xfId="0" applyNumberFormat="1" applyFont="1" applyFill="1" applyBorder="1" applyAlignment="1" applyProtection="1"/>
    <xf numFmtId="0" fontId="2" fillId="2" borderId="2" xfId="0" applyFont="1" applyFill="1" applyBorder="1" applyAlignment="1">
      <alignment horizontal="center" wrapText="1"/>
    </xf>
    <xf numFmtId="9" fontId="0" fillId="0" borderId="1" xfId="2" applyFont="1" applyBorder="1"/>
    <xf numFmtId="3" fontId="0" fillId="0" borderId="0" xfId="0" applyNumberFormat="1" applyFill="1" applyBorder="1"/>
    <xf numFmtId="3" fontId="11" fillId="9" borderId="10" xfId="5" applyNumberFormat="1" applyFont="1" applyFill="1" applyBorder="1" applyProtection="1">
      <protection locked="0"/>
    </xf>
    <xf numFmtId="3" fontId="11" fillId="9" borderId="11" xfId="5" applyNumberFormat="1" applyFont="1" applyFill="1" applyBorder="1" applyProtection="1">
      <protection locked="0"/>
    </xf>
    <xf numFmtId="165" fontId="11" fillId="9" borderId="10" xfId="5" applyNumberFormat="1" applyFont="1" applyFill="1" applyBorder="1" applyProtection="1">
      <protection locked="0"/>
    </xf>
    <xf numFmtId="10" fontId="0" fillId="0" borderId="0" xfId="2" applyNumberFormat="1" applyFont="1"/>
    <xf numFmtId="1" fontId="0" fillId="0" borderId="1" xfId="0" applyNumberFormat="1" applyBorder="1" applyAlignment="1">
      <alignment horizontal="center"/>
    </xf>
    <xf numFmtId="3" fontId="0" fillId="0" borderId="1" xfId="0" applyNumberFormat="1" applyFont="1" applyBorder="1"/>
    <xf numFmtId="0" fontId="10" fillId="0" borderId="0" xfId="0" applyFont="1"/>
    <xf numFmtId="3" fontId="10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0" fillId="6" borderId="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Hyperkobling" xfId="3" builtinId="8"/>
    <cellStyle name="Komma" xfId="1" builtinId="3"/>
    <cellStyle name="Normal" xfId="0" builtinId="0"/>
    <cellStyle name="Normal 2" xfId="5"/>
    <cellStyle name="Normal 4" xfId="4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zoomScale="120" zoomScaleNormal="120" workbookViewId="0">
      <selection activeCell="P5" sqref="P5"/>
    </sheetView>
  </sheetViews>
  <sheetFormatPr baseColWidth="10" defaultColWidth="9.140625" defaultRowHeight="15" x14ac:dyDescent="0.25"/>
  <cols>
    <col min="1" max="1" width="18.7109375" style="4" customWidth="1"/>
    <col min="2" max="2" width="10.5703125" style="4" bestFit="1" customWidth="1"/>
    <col min="3" max="3" width="13.28515625" style="4" bestFit="1" customWidth="1"/>
    <col min="4" max="4" width="11.42578125" style="4" bestFit="1" customWidth="1"/>
    <col min="5" max="5" width="8.42578125" style="4" bestFit="1" customWidth="1"/>
    <col min="6" max="8" width="8" style="4" bestFit="1" customWidth="1"/>
    <col min="9" max="9" width="4" style="4" customWidth="1"/>
    <col min="10" max="10" width="9.140625" style="4"/>
    <col min="11" max="11" width="7.7109375" style="4" bestFit="1" customWidth="1"/>
    <col min="12" max="12" width="7.85546875" style="4" bestFit="1" customWidth="1"/>
    <col min="13" max="16384" width="9.140625" style="4"/>
  </cols>
  <sheetData>
    <row r="3" spans="1:12" s="78" customFormat="1" ht="30" x14ac:dyDescent="0.25">
      <c r="A3" s="77" t="s">
        <v>0</v>
      </c>
      <c r="B3" s="75" t="s">
        <v>102</v>
      </c>
      <c r="C3" s="76" t="s">
        <v>91</v>
      </c>
      <c r="D3" s="76" t="s">
        <v>99</v>
      </c>
      <c r="E3" s="75" t="s">
        <v>92</v>
      </c>
      <c r="F3" s="76" t="s">
        <v>93</v>
      </c>
      <c r="G3" s="75" t="s">
        <v>12</v>
      </c>
      <c r="H3" s="76" t="s">
        <v>112</v>
      </c>
      <c r="I3" s="76"/>
      <c r="J3" s="76" t="s">
        <v>95</v>
      </c>
      <c r="K3" s="76" t="s">
        <v>97</v>
      </c>
      <c r="L3" s="76" t="s">
        <v>98</v>
      </c>
    </row>
    <row r="4" spans="1:12" ht="14.45" x14ac:dyDescent="0.3">
      <c r="A4" s="2" t="s">
        <v>3</v>
      </c>
      <c r="B4" s="2">
        <f>(Utdanning!C2+Utdanning!E14)*(1-$C$14)</f>
        <v>79995.214052942902</v>
      </c>
      <c r="C4" s="2">
        <f>+'Forskning rekrutteringst.'!D2*(1-Fordeling!$C$15)</f>
        <v>37916.800000000003</v>
      </c>
      <c r="D4" s="63">
        <f>'Forskning øremerking'!O3*(1-Fordeling!$C$16)</f>
        <v>7557.9150000000009</v>
      </c>
      <c r="E4" s="2">
        <f>(+'Forskning resultat'!K7+'Forskning resultat'!K24+'Forskning resultat'!K41+'Forskning resultat'!K59)*(1-$C$17)</f>
        <v>16125.686783999998</v>
      </c>
      <c r="F4" s="2"/>
      <c r="G4" s="2">
        <f t="shared" ref="G4:G11" si="0">SUM(B4:F4)</f>
        <v>141595.61583694289</v>
      </c>
      <c r="H4" s="2">
        <f>(G4-D4)/(1-$C$14)*$C$14</f>
        <v>33509.42520923572</v>
      </c>
      <c r="I4" s="2"/>
      <c r="J4" s="2">
        <v>141912</v>
      </c>
      <c r="K4" s="2">
        <f>+G4-J4</f>
        <v>-316.38416305711144</v>
      </c>
      <c r="L4" s="66">
        <f>+K4/J4</f>
        <v>-2.2294391105552131E-3</v>
      </c>
    </row>
    <row r="5" spans="1:12" ht="14.45" x14ac:dyDescent="0.3">
      <c r="A5" s="2" t="s">
        <v>4</v>
      </c>
      <c r="B5" s="2">
        <f>(Utdanning!C3+Utdanning!E15)*(1-$C$14)</f>
        <v>51757.103036837485</v>
      </c>
      <c r="C5" s="2">
        <f>+'Forskning rekrutteringst.'!D3*(1-Fordeling!$C$15)</f>
        <v>14796.800000000001</v>
      </c>
      <c r="D5" s="63">
        <f>'Forskning øremerking'!O4*(1-Fordeling!$C$16)</f>
        <v>2838</v>
      </c>
      <c r="E5" s="2">
        <f>(+'Forskning resultat'!K26+'Forskning resultat'!K43+'Forskning resultat'!K61+'Forskning resultat'!K9)*(1-$C$17)</f>
        <v>15403.259904</v>
      </c>
      <c r="F5" s="2"/>
      <c r="G5" s="2">
        <f t="shared" si="0"/>
        <v>84795.162940837487</v>
      </c>
      <c r="H5" s="2">
        <f t="shared" ref="H5:H8" si="1">(G5-D5)/(1-$C$14)*$C$14</f>
        <v>20489.290735209372</v>
      </c>
      <c r="I5" s="2"/>
      <c r="J5" s="2">
        <v>95878</v>
      </c>
      <c r="K5" s="2">
        <f t="shared" ref="K5:K10" si="2">+G5-J5</f>
        <v>-11082.837059162513</v>
      </c>
      <c r="L5" s="66">
        <f t="shared" ref="L5:L11" si="3">+K5/J5</f>
        <v>-0.1155931189549481</v>
      </c>
    </row>
    <row r="6" spans="1:12" ht="14.45" x14ac:dyDescent="0.3">
      <c r="A6" s="2" t="s">
        <v>5</v>
      </c>
      <c r="B6" s="2">
        <f>(Utdanning!C4+Utdanning!E16)*(1-$C$14)</f>
        <v>111627.36034401171</v>
      </c>
      <c r="C6" s="2">
        <f>+'Forskning rekrutteringst.'!D4*(1-Fordeling!$C$15)</f>
        <v>78608</v>
      </c>
      <c r="D6" s="63">
        <f>'Forskning øremerking'!O5*(1-Fordeling!$C$16)</f>
        <v>12829.24</v>
      </c>
      <c r="E6" s="2">
        <f>(+'Forskning resultat'!K11+'Forskning resultat'!K28+'Forskning resultat'!K45+'Forskning resultat'!K63)*(1-$C$17)</f>
        <v>50830.469375999994</v>
      </c>
      <c r="F6" s="2"/>
      <c r="G6" s="2">
        <f t="shared" si="0"/>
        <v>253895.0697200117</v>
      </c>
      <c r="H6" s="2">
        <f t="shared" si="1"/>
        <v>60266.45743000292</v>
      </c>
      <c r="I6" s="2"/>
      <c r="J6" s="2">
        <f>241459</f>
        <v>241459</v>
      </c>
      <c r="K6" s="2">
        <f t="shared" si="2"/>
        <v>12436.069720011699</v>
      </c>
      <c r="L6" s="66">
        <f t="shared" si="3"/>
        <v>5.1503856638235472E-2</v>
      </c>
    </row>
    <row r="7" spans="1:12" ht="14.45" x14ac:dyDescent="0.3">
      <c r="A7" s="2" t="s">
        <v>7</v>
      </c>
      <c r="B7" s="2">
        <f>Utdanning!C5*(1-Fordeling!$C$14)</f>
        <v>0</v>
      </c>
      <c r="C7" s="2">
        <f>+'Forskning rekrutteringst.'!D5*(1-Fordeling!$C$15)</f>
        <v>1849.6000000000001</v>
      </c>
      <c r="D7" s="2">
        <f>'Forskning øremerking'!O6*(1-Fordeling!$C$16)</f>
        <v>19226</v>
      </c>
      <c r="E7" s="2">
        <f>(+'Forskning resultat'!K13+'Forskning resultat'!K30+'Forskning resultat'!K47+'Forskning resultat'!K65)*(1-$C$17)</f>
        <v>1526.8131840000001</v>
      </c>
      <c r="F7" s="2"/>
      <c r="G7" s="2">
        <f t="shared" si="0"/>
        <v>22602.413183999997</v>
      </c>
      <c r="H7" s="2">
        <f t="shared" si="1"/>
        <v>844.10329599999932</v>
      </c>
      <c r="I7" s="2"/>
      <c r="J7" s="2">
        <v>22565</v>
      </c>
      <c r="K7" s="2">
        <f t="shared" si="2"/>
        <v>37.413183999997273</v>
      </c>
      <c r="L7" s="66">
        <f t="shared" si="3"/>
        <v>1.6580183469974417E-3</v>
      </c>
    </row>
    <row r="8" spans="1:12" ht="14.45" x14ac:dyDescent="0.3">
      <c r="A8" s="63" t="s">
        <v>8</v>
      </c>
      <c r="B8" s="2">
        <f>Utdanning!C6*(1-Fordeling!$C$14)</f>
        <v>0</v>
      </c>
      <c r="C8" s="2">
        <f>+'Forskning rekrutteringst.'!D6*(1-Fordeling!$C$15)</f>
        <v>1849.6000000000001</v>
      </c>
      <c r="D8" s="2">
        <f>'Forskning øremerking'!O7*(1-Fordeling!$C$16)</f>
        <v>11716</v>
      </c>
      <c r="E8" s="2">
        <f>(+'Forskning resultat'!K15+'Forskning resultat'!K32+'Forskning resultat'!K49+'Forskning resultat'!K67)*(1-$C$17)</f>
        <v>2092.9912319999999</v>
      </c>
      <c r="F8" s="2"/>
      <c r="G8" s="2">
        <f t="shared" si="0"/>
        <v>15658.591232000001</v>
      </c>
      <c r="H8" s="2">
        <f t="shared" si="1"/>
        <v>985.64780800000017</v>
      </c>
      <c r="I8" s="2"/>
      <c r="J8" s="2">
        <v>16719</v>
      </c>
      <c r="K8" s="2">
        <f t="shared" si="2"/>
        <v>-1060.4087679999993</v>
      </c>
      <c r="L8" s="66">
        <f t="shared" si="3"/>
        <v>-6.3425370416890919E-2</v>
      </c>
    </row>
    <row r="9" spans="1:12" ht="14.45" x14ac:dyDescent="0.3">
      <c r="A9" s="63" t="s">
        <v>100</v>
      </c>
      <c r="B9" s="2">
        <f>Utdanning!C7*(1-Fordeling!$C$14)</f>
        <v>0</v>
      </c>
      <c r="C9" s="2"/>
      <c r="D9" s="2">
        <v>0</v>
      </c>
      <c r="E9" s="2">
        <v>0</v>
      </c>
      <c r="F9" s="2">
        <v>72100</v>
      </c>
      <c r="G9" s="2">
        <f t="shared" si="0"/>
        <v>72100</v>
      </c>
      <c r="H9" s="2">
        <f>(G9-D9-F9)/(1-$C$14)*$C$14</f>
        <v>0</v>
      </c>
      <c r="I9" s="2"/>
      <c r="J9" s="2">
        <v>0</v>
      </c>
      <c r="K9" s="2">
        <f t="shared" si="2"/>
        <v>72100</v>
      </c>
      <c r="L9" s="66"/>
    </row>
    <row r="10" spans="1:12" ht="14.45" x14ac:dyDescent="0.3">
      <c r="A10" s="63" t="s">
        <v>9</v>
      </c>
      <c r="B10" s="2">
        <v>0</v>
      </c>
      <c r="C10" s="2">
        <f>+'Forskning rekrutteringst.'!D7*(1-Fordeling!$C$15)</f>
        <v>0</v>
      </c>
      <c r="D10" s="2">
        <f>'Forskning øremerking'!O9*(1-Fordeling!$C$16)</f>
        <v>33520</v>
      </c>
      <c r="E10" s="63">
        <f>(+'Forskning resultat'!K57)*(1-$C$17)</f>
        <v>5954.7647999999999</v>
      </c>
      <c r="F10" s="2">
        <f>+'Ledelse og admin'!B10+'Ledelse og admin'!E17+'Ledelse og admin'!B27</f>
        <v>74392</v>
      </c>
      <c r="G10" s="2">
        <f t="shared" si="0"/>
        <v>113866.7648</v>
      </c>
      <c r="H10" s="2">
        <f>(G10-D10-F10)/(1-$C$14)*$C$14</f>
        <v>1488.6912000000011</v>
      </c>
      <c r="I10" s="2"/>
      <c r="J10" s="2">
        <v>188714</v>
      </c>
      <c r="K10" s="2">
        <f t="shared" si="2"/>
        <v>-74847.235199999996</v>
      </c>
      <c r="L10" s="66">
        <f t="shared" si="3"/>
        <v>-0.39661728965524545</v>
      </c>
    </row>
    <row r="11" spans="1:12" x14ac:dyDescent="0.25">
      <c r="A11" s="63" t="s">
        <v>6</v>
      </c>
      <c r="B11" s="2">
        <f>SUM(B4:B10)</f>
        <v>243379.67743379209</v>
      </c>
      <c r="C11" s="2">
        <f>SUM(C4:C10)</f>
        <v>135020.80000000002</v>
      </c>
      <c r="D11" s="2">
        <f>SUM(D4:D10)</f>
        <v>87687.154999999999</v>
      </c>
      <c r="E11" s="2">
        <f>SUM(E4:E10)</f>
        <v>91933.985279999994</v>
      </c>
      <c r="F11" s="2">
        <f>SUM(F4:F10)</f>
        <v>146492</v>
      </c>
      <c r="G11" s="2">
        <f t="shared" si="0"/>
        <v>704513.61771379213</v>
      </c>
      <c r="H11" s="2">
        <f>SUM(H4:H10)</f>
        <v>117583.61567844801</v>
      </c>
      <c r="I11" s="2"/>
      <c r="J11" s="2">
        <f>SUM(J4:J10)</f>
        <v>707247</v>
      </c>
      <c r="K11" s="2">
        <f>SUM(K4:K10)</f>
        <v>-2733.3822862079251</v>
      </c>
      <c r="L11" s="66">
        <f t="shared" si="3"/>
        <v>-3.8648199090387447E-3</v>
      </c>
    </row>
    <row r="14" spans="1:12" ht="14.45" x14ac:dyDescent="0.3">
      <c r="A14" s="4" t="s">
        <v>107</v>
      </c>
      <c r="C14" s="71">
        <v>0.2</v>
      </c>
    </row>
    <row r="15" spans="1:12" hidden="1" x14ac:dyDescent="0.25">
      <c r="A15" s="4" t="s">
        <v>103</v>
      </c>
      <c r="C15" s="71">
        <f>C14</f>
        <v>0.2</v>
      </c>
    </row>
    <row r="16" spans="1:12" hidden="1" x14ac:dyDescent="0.25">
      <c r="A16" s="4" t="s">
        <v>104</v>
      </c>
      <c r="C16" s="71">
        <v>0</v>
      </c>
    </row>
    <row r="17" spans="1:3" hidden="1" x14ac:dyDescent="0.25">
      <c r="A17" s="4" t="s">
        <v>105</v>
      </c>
      <c r="C17" s="71">
        <f>C14</f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workbookViewId="0">
      <selection activeCell="L25" sqref="L25"/>
    </sheetView>
  </sheetViews>
  <sheetFormatPr baseColWidth="10" defaultColWidth="8.85546875" defaultRowHeight="15" x14ac:dyDescent="0.25"/>
  <cols>
    <col min="1" max="1" width="12" bestFit="1" customWidth="1"/>
    <col min="2" max="2" width="14.140625" customWidth="1"/>
    <col min="3" max="3" width="15.7109375" bestFit="1" customWidth="1"/>
    <col min="4" max="4" width="10.42578125" bestFit="1" customWidth="1"/>
    <col min="5" max="5" width="8.85546875" bestFit="1" customWidth="1"/>
  </cols>
  <sheetData>
    <row r="1" spans="1:5" ht="30" x14ac:dyDescent="0.25">
      <c r="A1" s="79" t="s">
        <v>0</v>
      </c>
      <c r="B1" s="82" t="s">
        <v>1</v>
      </c>
      <c r="C1" s="83" t="s">
        <v>2</v>
      </c>
    </row>
    <row r="2" spans="1:5" x14ac:dyDescent="0.25">
      <c r="A2" s="1" t="s">
        <v>3</v>
      </c>
      <c r="B2" s="72">
        <f>(C2*100)/$C$8</f>
        <v>32.626076158111367</v>
      </c>
      <c r="C2" s="2">
        <v>97735</v>
      </c>
    </row>
    <row r="3" spans="1:5" x14ac:dyDescent="0.25">
      <c r="A3" s="1" t="s">
        <v>4</v>
      </c>
      <c r="B3" s="72">
        <f t="shared" ref="B3:B7" si="0">(C3*100)/$C$8</f>
        <v>21.15729350616402</v>
      </c>
      <c r="C3" s="2">
        <v>63379</v>
      </c>
    </row>
    <row r="4" spans="1:5" x14ac:dyDescent="0.25">
      <c r="A4" s="1" t="s">
        <v>5</v>
      </c>
      <c r="B4" s="72">
        <f t="shared" si="0"/>
        <v>46.216630335724609</v>
      </c>
      <c r="C4" s="2">
        <v>138447</v>
      </c>
    </row>
    <row r="5" spans="1:5" x14ac:dyDescent="0.25">
      <c r="A5" s="1" t="s">
        <v>7</v>
      </c>
      <c r="B5" s="72">
        <f t="shared" si="0"/>
        <v>0</v>
      </c>
      <c r="C5" s="2">
        <v>0</v>
      </c>
    </row>
    <row r="6" spans="1:5" x14ac:dyDescent="0.25">
      <c r="A6" s="3" t="s">
        <v>8</v>
      </c>
      <c r="B6" s="72">
        <f t="shared" si="0"/>
        <v>0</v>
      </c>
      <c r="C6" s="2">
        <v>0</v>
      </c>
    </row>
    <row r="7" spans="1:5" x14ac:dyDescent="0.25">
      <c r="A7" s="3" t="s">
        <v>9</v>
      </c>
      <c r="B7" s="72">
        <f t="shared" si="0"/>
        <v>0</v>
      </c>
      <c r="C7" s="2">
        <v>0</v>
      </c>
    </row>
    <row r="8" spans="1:5" x14ac:dyDescent="0.25">
      <c r="A8" s="3" t="s">
        <v>6</v>
      </c>
      <c r="B8" s="1"/>
      <c r="C8" s="2">
        <f>SUM(C2:C7)</f>
        <v>299561</v>
      </c>
    </row>
    <row r="12" spans="1:5" ht="15.75" thickBot="1" x14ac:dyDescent="0.3">
      <c r="A12" s="74" t="s">
        <v>111</v>
      </c>
    </row>
    <row r="13" spans="1:5" ht="14.45" x14ac:dyDescent="0.3">
      <c r="A13" s="79" t="s">
        <v>0</v>
      </c>
      <c r="B13" s="80" t="s">
        <v>108</v>
      </c>
      <c r="C13" s="80" t="s">
        <v>109</v>
      </c>
      <c r="D13" s="80" t="s">
        <v>110</v>
      </c>
      <c r="E13" s="81" t="s">
        <v>6</v>
      </c>
    </row>
    <row r="14" spans="1:5" ht="14.45" x14ac:dyDescent="0.3">
      <c r="A14" s="1" t="s">
        <v>3</v>
      </c>
      <c r="B14" s="73">
        <v>721007.57496339676</v>
      </c>
      <c r="C14" s="73">
        <v>1286906.3191800879</v>
      </c>
      <c r="D14" s="73">
        <v>251103.67203513911</v>
      </c>
      <c r="E14" s="73">
        <f>SUM(B14:D14)/1000</f>
        <v>2259.0175661786234</v>
      </c>
    </row>
    <row r="15" spans="1:5" ht="14.45" x14ac:dyDescent="0.3">
      <c r="A15" s="1" t="s">
        <v>4</v>
      </c>
      <c r="B15" s="73">
        <v>721007.57496339676</v>
      </c>
      <c r="C15" s="73">
        <v>0</v>
      </c>
      <c r="D15" s="73">
        <v>596371.22108345537</v>
      </c>
      <c r="E15" s="73">
        <f>SUM(B15:D15)/1000</f>
        <v>1317.3787960468521</v>
      </c>
    </row>
    <row r="16" spans="1:5" ht="14.45" x14ac:dyDescent="0.3">
      <c r="A16" s="1" t="s">
        <v>5</v>
      </c>
      <c r="B16" s="73">
        <v>721007.57496339676</v>
      </c>
      <c r="C16" s="73">
        <v>0</v>
      </c>
      <c r="D16" s="73">
        <v>366192.85505124449</v>
      </c>
      <c r="E16" s="73">
        <f>SUM(B16:D16)/1000</f>
        <v>1087.2004300146414</v>
      </c>
    </row>
    <row r="17" spans="1:5" ht="14.45" x14ac:dyDescent="0.3">
      <c r="A17" s="1" t="s">
        <v>7</v>
      </c>
      <c r="B17" s="1"/>
      <c r="C17" s="1"/>
      <c r="D17" s="1"/>
      <c r="E17" s="1"/>
    </row>
    <row r="18" spans="1:5" ht="14.45" x14ac:dyDescent="0.3">
      <c r="A18" s="3" t="s">
        <v>8</v>
      </c>
      <c r="B18" s="1"/>
      <c r="C18" s="1"/>
      <c r="D18" s="1"/>
      <c r="E18" s="1"/>
    </row>
    <row r="19" spans="1:5" ht="14.45" x14ac:dyDescent="0.3">
      <c r="A19" s="3" t="s">
        <v>9</v>
      </c>
      <c r="B19" s="1"/>
      <c r="C19" s="1"/>
      <c r="D19" s="1"/>
      <c r="E19" s="1"/>
    </row>
    <row r="20" spans="1:5" ht="14.45" x14ac:dyDescent="0.3">
      <c r="A20" s="3" t="s">
        <v>6</v>
      </c>
      <c r="B20" s="1"/>
      <c r="C20" s="1"/>
      <c r="D20" s="1"/>
      <c r="E20" s="2">
        <f>SUM(E14:E19)</f>
        <v>4663.5967922401169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75" zoomScaleNormal="175" workbookViewId="0">
      <selection activeCell="E10" sqref="E10"/>
    </sheetView>
  </sheetViews>
  <sheetFormatPr baseColWidth="10" defaultColWidth="8.85546875" defaultRowHeight="15" x14ac:dyDescent="0.25"/>
  <cols>
    <col min="1" max="1" width="13.7109375" customWidth="1"/>
    <col min="2" max="2" width="10.85546875" bestFit="1" customWidth="1"/>
    <col min="3" max="4" width="14.7109375" bestFit="1" customWidth="1"/>
  </cols>
  <sheetData>
    <row r="1" spans="1:4" x14ac:dyDescent="0.25">
      <c r="A1" s="84" t="s">
        <v>0</v>
      </c>
      <c r="B1" s="84" t="s">
        <v>10</v>
      </c>
      <c r="C1" s="84" t="s">
        <v>11</v>
      </c>
      <c r="D1" s="85" t="s">
        <v>12</v>
      </c>
    </row>
    <row r="2" spans="1:4" x14ac:dyDescent="0.25">
      <c r="A2" s="1" t="s">
        <v>3</v>
      </c>
      <c r="B2" s="2">
        <v>35</v>
      </c>
      <c r="C2" s="2">
        <v>6</v>
      </c>
      <c r="D2" s="2">
        <f>(B2*$C$11)+(C2*$C$11)</f>
        <v>47396</v>
      </c>
    </row>
    <row r="3" spans="1:4" x14ac:dyDescent="0.25">
      <c r="A3" s="1" t="s">
        <v>4</v>
      </c>
      <c r="B3" s="2">
        <v>12</v>
      </c>
      <c r="C3" s="2">
        <v>4</v>
      </c>
      <c r="D3" s="2">
        <f t="shared" ref="D3:D8" si="0">(B3*$C$11)+(C3*$C$11)</f>
        <v>18496</v>
      </c>
    </row>
    <row r="4" spans="1:4" x14ac:dyDescent="0.25">
      <c r="A4" s="1" t="s">
        <v>5</v>
      </c>
      <c r="B4" s="2">
        <v>76</v>
      </c>
      <c r="C4" s="2">
        <v>9</v>
      </c>
      <c r="D4" s="2">
        <f t="shared" si="0"/>
        <v>98260</v>
      </c>
    </row>
    <row r="5" spans="1:4" x14ac:dyDescent="0.25">
      <c r="A5" s="1" t="s">
        <v>7</v>
      </c>
      <c r="B5" s="2">
        <v>2</v>
      </c>
      <c r="C5" s="2">
        <v>0</v>
      </c>
      <c r="D5" s="2">
        <f t="shared" si="0"/>
        <v>2312</v>
      </c>
    </row>
    <row r="6" spans="1:4" x14ac:dyDescent="0.25">
      <c r="A6" s="3" t="s">
        <v>8</v>
      </c>
      <c r="B6" s="2">
        <v>0</v>
      </c>
      <c r="C6" s="2">
        <v>2</v>
      </c>
      <c r="D6" s="2">
        <f t="shared" si="0"/>
        <v>2312</v>
      </c>
    </row>
    <row r="7" spans="1:4" x14ac:dyDescent="0.25">
      <c r="A7" s="3" t="s">
        <v>106</v>
      </c>
      <c r="B7" s="2"/>
      <c r="C7" s="2"/>
      <c r="D7" s="2">
        <f t="shared" si="0"/>
        <v>0</v>
      </c>
    </row>
    <row r="8" spans="1:4" x14ac:dyDescent="0.25">
      <c r="A8" s="3" t="s">
        <v>9</v>
      </c>
      <c r="B8" s="2">
        <v>0</v>
      </c>
      <c r="C8" s="2">
        <v>0</v>
      </c>
      <c r="D8" s="2">
        <f t="shared" si="0"/>
        <v>0</v>
      </c>
    </row>
    <row r="9" spans="1:4" x14ac:dyDescent="0.25">
      <c r="A9" s="3" t="s">
        <v>6</v>
      </c>
      <c r="B9" s="2">
        <f>SUM(B2:B8)</f>
        <v>125</v>
      </c>
      <c r="C9" s="2">
        <f>SUM(C2:C8)</f>
        <v>21</v>
      </c>
      <c r="D9" s="2">
        <f>(B9*$C$11)+(C9*$C$11)</f>
        <v>168776</v>
      </c>
    </row>
    <row r="11" spans="1:4" ht="14.45" x14ac:dyDescent="0.3">
      <c r="A11" t="s">
        <v>101</v>
      </c>
      <c r="C11" s="67">
        <v>1156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160" zoomScaleNormal="160" workbookViewId="0">
      <selection activeCell="C6" sqref="C6"/>
    </sheetView>
  </sheetViews>
  <sheetFormatPr baseColWidth="10" defaultColWidth="8.85546875" defaultRowHeight="15" x14ac:dyDescent="0.25"/>
  <cols>
    <col min="1" max="1" width="28.42578125" bestFit="1" customWidth="1"/>
    <col min="4" max="4" width="0" hidden="1" customWidth="1"/>
    <col min="7" max="8" width="0" hidden="1" customWidth="1"/>
    <col min="9" max="9" width="10.85546875" bestFit="1" customWidth="1"/>
  </cols>
  <sheetData>
    <row r="1" spans="1:15" ht="15" customHeight="1" x14ac:dyDescent="0.25">
      <c r="A1" s="1" t="s">
        <v>0</v>
      </c>
      <c r="B1" s="90" t="s">
        <v>13</v>
      </c>
      <c r="C1" s="86" t="s">
        <v>14</v>
      </c>
      <c r="D1" s="86" t="s">
        <v>15</v>
      </c>
      <c r="E1" s="86" t="s">
        <v>16</v>
      </c>
      <c r="F1" s="86" t="s">
        <v>17</v>
      </c>
      <c r="G1" s="92" t="s">
        <v>18</v>
      </c>
      <c r="H1" s="93"/>
      <c r="I1" s="17" t="s">
        <v>30</v>
      </c>
      <c r="J1" s="86" t="s">
        <v>19</v>
      </c>
      <c r="K1" s="65"/>
      <c r="L1" s="6" t="s">
        <v>48</v>
      </c>
      <c r="M1" s="6" t="s">
        <v>48</v>
      </c>
      <c r="N1" s="86" t="s">
        <v>94</v>
      </c>
      <c r="O1" s="88" t="s">
        <v>20</v>
      </c>
    </row>
    <row r="2" spans="1:15" ht="15" customHeight="1" x14ac:dyDescent="0.25">
      <c r="A2" s="1"/>
      <c r="B2" s="91"/>
      <c r="C2" s="87"/>
      <c r="D2" s="87"/>
      <c r="E2" s="87"/>
      <c r="F2" s="87"/>
      <c r="G2" s="6" t="s">
        <v>21</v>
      </c>
      <c r="H2" s="7" t="s">
        <v>22</v>
      </c>
      <c r="I2" s="7"/>
      <c r="J2" s="87"/>
      <c r="K2" s="6" t="s">
        <v>96</v>
      </c>
      <c r="L2" s="6" t="s">
        <v>49</v>
      </c>
      <c r="M2" s="6" t="s">
        <v>50</v>
      </c>
      <c r="N2" s="87"/>
      <c r="O2" s="89"/>
    </row>
    <row r="3" spans="1:15" x14ac:dyDescent="0.25">
      <c r="A3" s="1" t="s">
        <v>3</v>
      </c>
      <c r="B3" s="2">
        <v>1000</v>
      </c>
      <c r="C3" s="2"/>
      <c r="D3" s="2"/>
      <c r="E3" s="2">
        <v>2000</v>
      </c>
      <c r="F3" s="2"/>
      <c r="G3" s="2"/>
      <c r="H3" s="2"/>
      <c r="I3" s="2"/>
      <c r="J3" s="2">
        <v>1305</v>
      </c>
      <c r="K3" s="2"/>
      <c r="L3" s="12"/>
      <c r="M3" s="12">
        <v>3252.9150000000004</v>
      </c>
      <c r="N3" s="2"/>
      <c r="O3" s="2">
        <f t="shared" ref="O3:O9" si="0">SUM(B3:N3)</f>
        <v>7557.9150000000009</v>
      </c>
    </row>
    <row r="4" spans="1:15" x14ac:dyDescent="0.25">
      <c r="A4" s="1" t="s">
        <v>4</v>
      </c>
      <c r="B4" s="2"/>
      <c r="C4" s="2"/>
      <c r="D4" s="2">
        <v>0</v>
      </c>
      <c r="E4" s="2"/>
      <c r="F4" s="2">
        <v>2260</v>
      </c>
      <c r="G4" s="2"/>
      <c r="H4" s="2"/>
      <c r="I4" s="2"/>
      <c r="J4" s="2">
        <v>578</v>
      </c>
      <c r="K4" s="2"/>
      <c r="L4" s="2"/>
      <c r="M4" s="2"/>
      <c r="N4" s="2"/>
      <c r="O4" s="2">
        <f t="shared" si="0"/>
        <v>2838</v>
      </c>
    </row>
    <row r="5" spans="1:15" x14ac:dyDescent="0.25">
      <c r="A5" s="1" t="s">
        <v>5</v>
      </c>
      <c r="B5" s="2"/>
      <c r="C5" s="2">
        <v>2200</v>
      </c>
      <c r="D5" s="2">
        <v>0</v>
      </c>
      <c r="E5" s="2">
        <v>6000</v>
      </c>
      <c r="F5" s="2"/>
      <c r="G5" s="2"/>
      <c r="H5" s="2"/>
      <c r="I5" s="2"/>
      <c r="J5" s="2"/>
      <c r="K5" s="2"/>
      <c r="L5" s="2"/>
      <c r="M5" s="2">
        <v>4629.24</v>
      </c>
      <c r="N5" s="2"/>
      <c r="O5" s="2">
        <f t="shared" si="0"/>
        <v>12829.24</v>
      </c>
    </row>
    <row r="6" spans="1:15" x14ac:dyDescent="0.25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19226</v>
      </c>
      <c r="O6" s="2">
        <f t="shared" si="0"/>
        <v>19226</v>
      </c>
    </row>
    <row r="7" spans="1:15" x14ac:dyDescent="0.25">
      <c r="A7" s="3" t="s">
        <v>8</v>
      </c>
      <c r="B7" s="2"/>
      <c r="C7" s="2"/>
      <c r="D7" s="2"/>
      <c r="E7" s="2"/>
      <c r="F7" s="2"/>
      <c r="G7" s="2"/>
      <c r="H7" s="2"/>
      <c r="I7" s="2"/>
      <c r="J7" s="2">
        <v>674</v>
      </c>
      <c r="K7" s="2"/>
      <c r="L7" s="2"/>
      <c r="M7" s="2"/>
      <c r="N7" s="2">
        <f>8500+2542</f>
        <v>11042</v>
      </c>
      <c r="O7" s="2">
        <f t="shared" si="0"/>
        <v>11716</v>
      </c>
    </row>
    <row r="8" spans="1:1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" t="s">
        <v>9</v>
      </c>
      <c r="B9" s="2"/>
      <c r="C9" s="2"/>
      <c r="D9" s="2"/>
      <c r="E9" s="2"/>
      <c r="F9" s="2"/>
      <c r="G9" s="2"/>
      <c r="H9" s="2"/>
      <c r="I9" s="2">
        <v>4000</v>
      </c>
      <c r="J9" s="2"/>
      <c r="K9" s="2">
        <v>20645</v>
      </c>
      <c r="L9" s="2">
        <v>8875</v>
      </c>
      <c r="M9" s="2"/>
      <c r="N9" s="2"/>
      <c r="O9" s="2">
        <f t="shared" si="0"/>
        <v>33520</v>
      </c>
    </row>
    <row r="10" spans="1:15" x14ac:dyDescent="0.25">
      <c r="A10" s="3" t="s">
        <v>6</v>
      </c>
      <c r="B10" s="2">
        <f t="shared" ref="B10:N10" si="1">SUM(B3:B9)</f>
        <v>1000</v>
      </c>
      <c r="C10" s="2">
        <f t="shared" si="1"/>
        <v>2200</v>
      </c>
      <c r="D10" s="2">
        <f t="shared" si="1"/>
        <v>0</v>
      </c>
      <c r="E10" s="2">
        <f t="shared" si="1"/>
        <v>8000</v>
      </c>
      <c r="F10" s="2">
        <f t="shared" si="1"/>
        <v>2260</v>
      </c>
      <c r="G10" s="2">
        <f t="shared" si="1"/>
        <v>0</v>
      </c>
      <c r="H10" s="2">
        <f t="shared" si="1"/>
        <v>0</v>
      </c>
      <c r="I10" s="2">
        <f t="shared" si="1"/>
        <v>4000</v>
      </c>
      <c r="J10" s="2">
        <f t="shared" si="1"/>
        <v>2557</v>
      </c>
      <c r="K10" s="2">
        <f t="shared" si="1"/>
        <v>20645</v>
      </c>
      <c r="L10" s="2">
        <f t="shared" ref="L10" si="2">SUM(L3:L9)</f>
        <v>8875</v>
      </c>
      <c r="M10" s="2">
        <f t="shared" ref="M10" si="3">SUM(M3:M9)</f>
        <v>7882.1550000000007</v>
      </c>
      <c r="N10" s="2">
        <f t="shared" si="1"/>
        <v>30268</v>
      </c>
      <c r="O10" s="2">
        <f>SUM(O3:O9)</f>
        <v>87687.154999999999</v>
      </c>
    </row>
  </sheetData>
  <mergeCells count="9">
    <mergeCell ref="J1:J2"/>
    <mergeCell ref="N1:N2"/>
    <mergeCell ref="O1:O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opLeftCell="A28" zoomScale="145" zoomScaleNormal="145" workbookViewId="0">
      <selection activeCell="M13" sqref="M13"/>
    </sheetView>
  </sheetViews>
  <sheetFormatPr baseColWidth="10" defaultColWidth="9.140625" defaultRowHeight="12.75" x14ac:dyDescent="0.2"/>
  <cols>
    <col min="1" max="1" width="36.85546875" style="9" customWidth="1"/>
    <col min="2" max="7" width="7.140625" style="9" bestFit="1" customWidth="1"/>
    <col min="8" max="9" width="7.140625" style="9" customWidth="1"/>
    <col min="10" max="10" width="7.85546875" style="9" customWidth="1"/>
    <col min="11" max="11" width="9.28515625" style="9" bestFit="1" customWidth="1"/>
    <col min="12" max="12" width="11.7109375" style="9" bestFit="1" customWidth="1"/>
    <col min="13" max="16384" width="9.140625" style="9"/>
  </cols>
  <sheetData>
    <row r="1" spans="1:13" ht="15.75" x14ac:dyDescent="0.25">
      <c r="A1" s="18" t="s">
        <v>31</v>
      </c>
      <c r="B1" s="19" t="s">
        <v>32</v>
      </c>
    </row>
    <row r="2" spans="1:13" x14ac:dyDescent="0.2">
      <c r="A2" s="20" t="s">
        <v>33</v>
      </c>
    </row>
    <row r="3" spans="1:13" x14ac:dyDescent="0.2">
      <c r="A3" s="21"/>
    </row>
    <row r="4" spans="1:13" ht="25.5" x14ac:dyDescent="0.2">
      <c r="A4" s="22" t="s">
        <v>34</v>
      </c>
      <c r="B4" s="23">
        <v>2011</v>
      </c>
      <c r="C4" s="23">
        <v>2012</v>
      </c>
      <c r="D4" s="23">
        <v>2013</v>
      </c>
      <c r="E4" s="23">
        <v>2014</v>
      </c>
      <c r="F4" s="23">
        <v>2015</v>
      </c>
      <c r="G4" s="23">
        <v>2016</v>
      </c>
      <c r="H4" s="23">
        <v>2017</v>
      </c>
      <c r="I4" s="23">
        <v>2018</v>
      </c>
      <c r="J4" s="24" t="s">
        <v>35</v>
      </c>
      <c r="K4" s="25" t="s">
        <v>36</v>
      </c>
    </row>
    <row r="5" spans="1:13" x14ac:dyDescent="0.2">
      <c r="A5" s="13" t="s">
        <v>23</v>
      </c>
      <c r="B5" s="26">
        <v>0</v>
      </c>
      <c r="C5" s="27">
        <v>0</v>
      </c>
      <c r="D5" s="27">
        <v>0</v>
      </c>
      <c r="E5" s="27">
        <v>0</v>
      </c>
      <c r="F5" s="26">
        <v>0</v>
      </c>
      <c r="G5" s="26">
        <v>0</v>
      </c>
      <c r="H5" s="26">
        <v>0</v>
      </c>
      <c r="I5" s="26">
        <v>0</v>
      </c>
      <c r="J5" s="28">
        <f>+AVERAGE(C5:E5)</f>
        <v>0</v>
      </c>
      <c r="K5" s="11">
        <f>J5*$B$18</f>
        <v>0</v>
      </c>
      <c r="M5" s="64"/>
    </row>
    <row r="6" spans="1:13" x14ac:dyDescent="0.2">
      <c r="A6" s="13"/>
      <c r="B6" s="26"/>
      <c r="C6" s="27"/>
      <c r="D6" s="27"/>
      <c r="E6" s="27"/>
      <c r="F6" s="26"/>
      <c r="G6" s="26"/>
      <c r="H6" s="26"/>
      <c r="I6" s="26"/>
      <c r="J6" s="28"/>
      <c r="K6" s="11"/>
      <c r="M6" s="64"/>
    </row>
    <row r="7" spans="1:13" x14ac:dyDescent="0.2">
      <c r="A7" s="13" t="s">
        <v>24</v>
      </c>
      <c r="B7" s="29">
        <v>20</v>
      </c>
      <c r="C7" s="30">
        <v>29</v>
      </c>
      <c r="D7" s="30">
        <v>22</v>
      </c>
      <c r="E7" s="30">
        <f>16+6</f>
        <v>22</v>
      </c>
      <c r="F7" s="29">
        <v>24</v>
      </c>
      <c r="G7" s="29">
        <v>26</v>
      </c>
      <c r="H7" s="29">
        <v>26</v>
      </c>
      <c r="I7" s="29">
        <v>28</v>
      </c>
      <c r="J7" s="28">
        <f>+AVERAGE(C7:E7)</f>
        <v>24.333333333333332</v>
      </c>
      <c r="K7" s="11">
        <f>J7*$B$18</f>
        <v>6026.8799999999992</v>
      </c>
      <c r="M7" s="64"/>
    </row>
    <row r="8" spans="1:13" x14ac:dyDescent="0.2">
      <c r="A8" s="13"/>
      <c r="B8" s="29"/>
      <c r="C8" s="30"/>
      <c r="D8" s="30"/>
      <c r="E8" s="30"/>
      <c r="F8" s="29"/>
      <c r="G8" s="29"/>
      <c r="H8" s="29"/>
      <c r="I8" s="29"/>
      <c r="J8" s="28"/>
      <c r="K8" s="11"/>
      <c r="M8" s="64"/>
    </row>
    <row r="9" spans="1:13" x14ac:dyDescent="0.2">
      <c r="A9" s="13" t="s">
        <v>25</v>
      </c>
      <c r="B9" s="26">
        <v>19</v>
      </c>
      <c r="C9" s="27">
        <v>30</v>
      </c>
      <c r="D9" s="27">
        <v>33</v>
      </c>
      <c r="E9" s="27">
        <f>21+19</f>
        <v>40</v>
      </c>
      <c r="F9" s="26">
        <v>30</v>
      </c>
      <c r="G9" s="26">
        <v>30</v>
      </c>
      <c r="H9" s="26">
        <v>30</v>
      </c>
      <c r="I9" s="26">
        <v>30</v>
      </c>
      <c r="J9" s="28">
        <f>+AVERAGE(C9:E9)</f>
        <v>34.333333333333336</v>
      </c>
      <c r="K9" s="11">
        <f>J9*$B$18</f>
        <v>8503.68</v>
      </c>
      <c r="M9" s="64"/>
    </row>
    <row r="10" spans="1:13" x14ac:dyDescent="0.2">
      <c r="A10" s="13"/>
      <c r="B10" s="29"/>
      <c r="C10" s="30"/>
      <c r="D10" s="30"/>
      <c r="E10" s="30"/>
      <c r="F10" s="29"/>
      <c r="G10" s="29"/>
      <c r="H10" s="29"/>
      <c r="I10" s="29"/>
      <c r="J10" s="28"/>
      <c r="K10" s="11"/>
      <c r="M10" s="64"/>
    </row>
    <row r="11" spans="1:13" x14ac:dyDescent="0.2">
      <c r="A11" s="13" t="s">
        <v>26</v>
      </c>
      <c r="B11" s="26">
        <v>135</v>
      </c>
      <c r="C11" s="27">
        <v>168</v>
      </c>
      <c r="D11" s="27">
        <v>152</v>
      </c>
      <c r="E11" s="27">
        <f>100+53</f>
        <v>153</v>
      </c>
      <c r="F11" s="26">
        <v>140</v>
      </c>
      <c r="G11" s="26">
        <v>140</v>
      </c>
      <c r="H11" s="26">
        <v>140</v>
      </c>
      <c r="I11" s="26">
        <v>140</v>
      </c>
      <c r="J11" s="28">
        <f>+AVERAGE(C11:E11)</f>
        <v>157.66666666666666</v>
      </c>
      <c r="K11" s="11">
        <f>J11*$B$18</f>
        <v>39050.879999999997</v>
      </c>
      <c r="M11" s="64"/>
    </row>
    <row r="12" spans="1:13" x14ac:dyDescent="0.2">
      <c r="A12" s="13"/>
      <c r="B12" s="26"/>
      <c r="C12" s="27"/>
      <c r="D12" s="27"/>
      <c r="E12" s="27"/>
      <c r="F12" s="26"/>
      <c r="G12" s="26"/>
      <c r="H12" s="26"/>
      <c r="I12" s="26"/>
      <c r="J12" s="28"/>
      <c r="K12" s="11"/>
      <c r="M12" s="64"/>
    </row>
    <row r="13" spans="1:13" x14ac:dyDescent="0.2">
      <c r="A13" s="13" t="s">
        <v>27</v>
      </c>
      <c r="B13" s="26"/>
      <c r="C13" s="27">
        <v>4</v>
      </c>
      <c r="D13" s="27">
        <v>0</v>
      </c>
      <c r="E13" s="27">
        <v>1</v>
      </c>
      <c r="F13" s="26"/>
      <c r="G13" s="26"/>
      <c r="H13" s="26"/>
      <c r="I13" s="26"/>
      <c r="J13" s="28">
        <f>+AVERAGE(C13:E13)</f>
        <v>1.6666666666666667</v>
      </c>
      <c r="K13" s="11">
        <f>J13*$B$18</f>
        <v>412.79999999999995</v>
      </c>
      <c r="M13" s="64"/>
    </row>
    <row r="14" spans="1:13" x14ac:dyDescent="0.2">
      <c r="A14" s="13"/>
      <c r="B14" s="26"/>
      <c r="C14" s="27"/>
      <c r="D14" s="27"/>
      <c r="E14" s="27"/>
      <c r="F14" s="26"/>
      <c r="G14" s="26"/>
      <c r="H14" s="26"/>
      <c r="I14" s="26"/>
      <c r="J14" s="28"/>
      <c r="K14" s="11"/>
      <c r="M14" s="64"/>
    </row>
    <row r="15" spans="1:13" x14ac:dyDescent="0.2">
      <c r="A15" s="13" t="s">
        <v>28</v>
      </c>
      <c r="B15" s="26"/>
      <c r="C15" s="27">
        <v>0</v>
      </c>
      <c r="D15" s="27">
        <v>0</v>
      </c>
      <c r="E15" s="27">
        <v>0</v>
      </c>
      <c r="F15" s="26"/>
      <c r="G15" s="26"/>
      <c r="H15" s="26"/>
      <c r="I15" s="26"/>
      <c r="J15" s="28">
        <f>+AVERAGE(C15:E15)</f>
        <v>0</v>
      </c>
      <c r="K15" s="11">
        <f>J15*$B$18</f>
        <v>0</v>
      </c>
      <c r="M15" s="64"/>
    </row>
    <row r="16" spans="1:13" x14ac:dyDescent="0.2">
      <c r="A16" s="13"/>
      <c r="B16" s="29"/>
      <c r="C16" s="30"/>
      <c r="D16" s="30"/>
      <c r="E16" s="30"/>
      <c r="F16" s="29"/>
      <c r="G16" s="29"/>
      <c r="H16" s="29"/>
      <c r="I16" s="29"/>
      <c r="J16" s="28"/>
      <c r="K16" s="11"/>
    </row>
    <row r="17" spans="1:13" x14ac:dyDescent="0.2">
      <c r="A17" s="31" t="s">
        <v>29</v>
      </c>
      <c r="B17" s="32">
        <f t="shared" ref="B17:I17" si="0">SUM(B5:B16)</f>
        <v>174</v>
      </c>
      <c r="C17" s="32">
        <f t="shared" si="0"/>
        <v>231</v>
      </c>
      <c r="D17" s="32">
        <f t="shared" si="0"/>
        <v>207</v>
      </c>
      <c r="E17" s="32">
        <f t="shared" si="0"/>
        <v>216</v>
      </c>
      <c r="F17" s="32">
        <f t="shared" si="0"/>
        <v>194</v>
      </c>
      <c r="G17" s="32">
        <f t="shared" si="0"/>
        <v>196</v>
      </c>
      <c r="H17" s="32">
        <f t="shared" si="0"/>
        <v>196</v>
      </c>
      <c r="I17" s="32">
        <f t="shared" si="0"/>
        <v>198</v>
      </c>
      <c r="J17" s="33">
        <f>+AVERAGE(C17:E17)</f>
        <v>218</v>
      </c>
      <c r="K17" s="33">
        <f>SUM(K5:K16)</f>
        <v>53994.239999999998</v>
      </c>
      <c r="M17" s="64"/>
    </row>
    <row r="18" spans="1:13" x14ac:dyDescent="0.2">
      <c r="A18" s="34" t="s">
        <v>37</v>
      </c>
      <c r="B18" s="68">
        <v>247.67999999999998</v>
      </c>
    </row>
    <row r="19" spans="1:13" x14ac:dyDescent="0.2">
      <c r="A19" s="9" t="s">
        <v>38</v>
      </c>
    </row>
    <row r="21" spans="1:13" ht="25.5" customHeight="1" x14ac:dyDescent="0.2">
      <c r="A21" s="35" t="s">
        <v>39</v>
      </c>
      <c r="B21" s="36">
        <v>2011</v>
      </c>
      <c r="C21" s="36">
        <v>2012</v>
      </c>
      <c r="D21" s="36">
        <v>2013</v>
      </c>
      <c r="E21" s="36">
        <v>2014</v>
      </c>
      <c r="F21" s="36">
        <v>2015</v>
      </c>
      <c r="G21" s="36">
        <v>2016</v>
      </c>
      <c r="H21" s="23">
        <v>2017</v>
      </c>
      <c r="I21" s="23">
        <v>2018</v>
      </c>
      <c r="J21" s="37" t="s">
        <v>40</v>
      </c>
      <c r="K21" s="38" t="s">
        <v>36</v>
      </c>
    </row>
    <row r="22" spans="1:13" x14ac:dyDescent="0.2">
      <c r="A22" s="39" t="s">
        <v>23</v>
      </c>
      <c r="B22" s="40">
        <v>1.1000000000000001</v>
      </c>
      <c r="C22" s="41">
        <v>0.7</v>
      </c>
      <c r="D22" s="41">
        <v>1.5</v>
      </c>
      <c r="E22" s="41">
        <v>4.9000000000000004</v>
      </c>
      <c r="F22" s="40">
        <v>0</v>
      </c>
      <c r="G22" s="40">
        <v>0</v>
      </c>
      <c r="H22" s="40">
        <v>0</v>
      </c>
      <c r="I22" s="40">
        <v>0</v>
      </c>
      <c r="J22" s="28">
        <f>+AVERAGE(C22:E22)</f>
        <v>2.3666666666666667</v>
      </c>
      <c r="K22" s="28">
        <f>J22*$B$35</f>
        <v>54.527999999999999</v>
      </c>
    </row>
    <row r="23" spans="1:13" x14ac:dyDescent="0.2">
      <c r="A23" s="39"/>
      <c r="B23" s="40"/>
      <c r="C23" s="41"/>
      <c r="D23" s="41"/>
      <c r="E23" s="41"/>
      <c r="F23" s="40"/>
      <c r="G23" s="40"/>
      <c r="H23" s="40"/>
      <c r="I23" s="40"/>
      <c r="J23" s="28"/>
      <c r="K23" s="28"/>
    </row>
    <row r="24" spans="1:13" x14ac:dyDescent="0.2">
      <c r="A24" s="15" t="s">
        <v>24</v>
      </c>
      <c r="B24" s="42">
        <v>177.9</v>
      </c>
      <c r="C24" s="43">
        <v>164.2</v>
      </c>
      <c r="D24" s="43">
        <v>160.69999999999999</v>
      </c>
      <c r="E24" s="43">
        <v>117.9</v>
      </c>
      <c r="F24" s="42">
        <v>182</v>
      </c>
      <c r="G24" s="42">
        <v>183</v>
      </c>
      <c r="H24" s="42">
        <v>185</v>
      </c>
      <c r="I24" s="42">
        <v>187</v>
      </c>
      <c r="J24" s="28">
        <f>+AVERAGE(C24:E24)</f>
        <v>147.6</v>
      </c>
      <c r="K24" s="28">
        <f>J24*$B$35</f>
        <v>3400.7039999999997</v>
      </c>
    </row>
    <row r="25" spans="1:13" x14ac:dyDescent="0.2">
      <c r="A25" s="15"/>
      <c r="B25" s="42"/>
      <c r="C25" s="43"/>
      <c r="D25" s="43"/>
      <c r="E25" s="43"/>
      <c r="F25" s="42"/>
      <c r="G25" s="42"/>
      <c r="H25" s="42"/>
      <c r="I25" s="42"/>
      <c r="J25" s="28"/>
      <c r="K25" s="28"/>
    </row>
    <row r="26" spans="1:13" x14ac:dyDescent="0.2">
      <c r="A26" s="15" t="s">
        <v>25</v>
      </c>
      <c r="B26" s="42">
        <v>192.3</v>
      </c>
      <c r="C26" s="43">
        <v>179.8</v>
      </c>
      <c r="D26" s="43">
        <v>187.3</v>
      </c>
      <c r="E26" s="43">
        <v>197.5</v>
      </c>
      <c r="F26" s="42">
        <v>190</v>
      </c>
      <c r="G26" s="42">
        <v>190</v>
      </c>
      <c r="H26" s="42">
        <v>195</v>
      </c>
      <c r="I26" s="42">
        <v>195</v>
      </c>
      <c r="J26" s="28">
        <f>+AVERAGE(C26:E26)</f>
        <v>188.20000000000002</v>
      </c>
      <c r="K26" s="28">
        <f>J26*$B$35</f>
        <v>4336.1280000000006</v>
      </c>
    </row>
    <row r="27" spans="1:13" x14ac:dyDescent="0.2">
      <c r="A27" s="15"/>
      <c r="B27" s="42"/>
      <c r="C27" s="43"/>
      <c r="D27" s="43"/>
      <c r="E27" s="43"/>
      <c r="F27" s="42"/>
      <c r="G27" s="42"/>
      <c r="H27" s="42"/>
      <c r="I27" s="42"/>
      <c r="J27" s="28"/>
      <c r="K27" s="28"/>
    </row>
    <row r="28" spans="1:13" x14ac:dyDescent="0.2">
      <c r="A28" s="15" t="s">
        <v>26</v>
      </c>
      <c r="B28" s="42">
        <v>308.2</v>
      </c>
      <c r="C28" s="43">
        <v>334.8</v>
      </c>
      <c r="D28" s="43">
        <v>315.10000000000002</v>
      </c>
      <c r="E28" s="43">
        <v>345.3</v>
      </c>
      <c r="F28" s="42">
        <v>341</v>
      </c>
      <c r="G28" s="42">
        <v>343</v>
      </c>
      <c r="H28" s="42">
        <v>343</v>
      </c>
      <c r="I28" s="42">
        <v>343</v>
      </c>
      <c r="J28" s="28">
        <f>+AVERAGE(C28:E28)</f>
        <v>331.73333333333335</v>
      </c>
      <c r="K28" s="28">
        <f>J28*$B$35</f>
        <v>7643.1360000000004</v>
      </c>
    </row>
    <row r="29" spans="1:13" x14ac:dyDescent="0.2">
      <c r="A29" s="15"/>
      <c r="B29" s="42"/>
      <c r="C29" s="43"/>
      <c r="D29" s="43"/>
      <c r="E29" s="43"/>
      <c r="F29" s="42"/>
      <c r="G29" s="42"/>
      <c r="H29" s="42"/>
      <c r="I29" s="42"/>
      <c r="J29" s="28"/>
      <c r="K29" s="28"/>
    </row>
    <row r="30" spans="1:13" x14ac:dyDescent="0.2">
      <c r="A30" s="13" t="s">
        <v>27</v>
      </c>
      <c r="B30" s="42">
        <v>30.6</v>
      </c>
      <c r="C30" s="43">
        <v>21.1</v>
      </c>
      <c r="D30" s="43">
        <v>21.4</v>
      </c>
      <c r="E30" s="43">
        <v>7.9</v>
      </c>
      <c r="F30" s="42"/>
      <c r="G30" s="42"/>
      <c r="H30" s="42"/>
      <c r="I30" s="42"/>
      <c r="J30" s="28">
        <f>+AVERAGE(C30:E30)</f>
        <v>16.8</v>
      </c>
      <c r="K30" s="28">
        <f>J30*$B$35</f>
        <v>387.072</v>
      </c>
    </row>
    <row r="31" spans="1:13" x14ac:dyDescent="0.2">
      <c r="A31" s="13"/>
      <c r="B31" s="42"/>
      <c r="C31" s="43"/>
      <c r="D31" s="43"/>
      <c r="E31" s="43"/>
      <c r="F31" s="42"/>
      <c r="G31" s="42"/>
      <c r="H31" s="42"/>
      <c r="I31" s="42"/>
      <c r="J31" s="28"/>
      <c r="K31" s="28"/>
    </row>
    <row r="32" spans="1:13" x14ac:dyDescent="0.2">
      <c r="A32" s="13" t="s">
        <v>28</v>
      </c>
      <c r="B32" s="42">
        <v>11.9</v>
      </c>
      <c r="C32" s="43">
        <v>11.8</v>
      </c>
      <c r="D32" s="43">
        <v>15.1</v>
      </c>
      <c r="E32" s="43">
        <v>10.8</v>
      </c>
      <c r="F32" s="42"/>
      <c r="G32" s="42"/>
      <c r="H32" s="42"/>
      <c r="I32" s="42"/>
      <c r="J32" s="28">
        <f>+AVERAGE(C32:E32)</f>
        <v>12.566666666666668</v>
      </c>
      <c r="K32" s="28">
        <f>J32*$B$35</f>
        <v>289.536</v>
      </c>
    </row>
    <row r="33" spans="1:11" x14ac:dyDescent="0.2">
      <c r="A33" s="15"/>
      <c r="B33" s="42"/>
      <c r="C33" s="43"/>
      <c r="D33" s="43"/>
      <c r="E33" s="43"/>
      <c r="F33" s="42"/>
      <c r="G33" s="42"/>
      <c r="H33" s="42"/>
      <c r="I33" s="42"/>
      <c r="J33" s="28"/>
      <c r="K33" s="28"/>
    </row>
    <row r="34" spans="1:11" x14ac:dyDescent="0.2">
      <c r="A34" s="16" t="s">
        <v>29</v>
      </c>
      <c r="B34" s="44">
        <f t="shared" ref="B34:I34" si="1">SUM(B22:B33)</f>
        <v>722</v>
      </c>
      <c r="C34" s="44">
        <f t="shared" si="1"/>
        <v>712.4</v>
      </c>
      <c r="D34" s="44">
        <f t="shared" si="1"/>
        <v>701.1</v>
      </c>
      <c r="E34" s="44">
        <f t="shared" si="1"/>
        <v>684.3</v>
      </c>
      <c r="F34" s="44">
        <f t="shared" si="1"/>
        <v>713</v>
      </c>
      <c r="G34" s="44">
        <f t="shared" si="1"/>
        <v>716</v>
      </c>
      <c r="H34" s="44">
        <f t="shared" si="1"/>
        <v>723</v>
      </c>
      <c r="I34" s="44">
        <f t="shared" si="1"/>
        <v>725</v>
      </c>
      <c r="J34" s="33">
        <f>+AVERAGE(B34:D34)</f>
        <v>711.83333333333337</v>
      </c>
      <c r="K34" s="33">
        <f>SUM(K22:K33)</f>
        <v>16111.104000000001</v>
      </c>
    </row>
    <row r="35" spans="1:11" x14ac:dyDescent="0.2">
      <c r="A35" s="45" t="s">
        <v>41</v>
      </c>
      <c r="B35" s="69">
        <v>23.04</v>
      </c>
    </row>
    <row r="38" spans="1:11" ht="25.5" x14ac:dyDescent="0.2">
      <c r="A38" s="35" t="s">
        <v>42</v>
      </c>
      <c r="B38" s="46">
        <v>2011</v>
      </c>
      <c r="C38" s="46">
        <v>2012</v>
      </c>
      <c r="D38" s="46">
        <v>2013</v>
      </c>
      <c r="E38" s="46">
        <v>2014</v>
      </c>
      <c r="F38" s="46">
        <v>2015</v>
      </c>
      <c r="G38" s="46">
        <v>2016</v>
      </c>
      <c r="H38" s="23">
        <v>2017</v>
      </c>
      <c r="I38" s="23">
        <v>2018</v>
      </c>
      <c r="J38" s="47" t="s">
        <v>40</v>
      </c>
      <c r="K38" s="38" t="s">
        <v>36</v>
      </c>
    </row>
    <row r="39" spans="1:11" x14ac:dyDescent="0.2">
      <c r="A39" s="39" t="s">
        <v>43</v>
      </c>
      <c r="B39" s="48">
        <v>3014</v>
      </c>
      <c r="C39" s="49">
        <v>2000</v>
      </c>
      <c r="D39" s="49">
        <v>6000</v>
      </c>
      <c r="E39" s="49">
        <v>4000</v>
      </c>
      <c r="F39" s="48">
        <v>0</v>
      </c>
      <c r="G39" s="48">
        <v>0</v>
      </c>
      <c r="H39" s="48">
        <v>0</v>
      </c>
      <c r="I39" s="48">
        <v>0</v>
      </c>
      <c r="J39" s="28">
        <f>+AVERAGE(C39:E39)</f>
        <v>4000</v>
      </c>
      <c r="K39" s="28">
        <f>J39*$B$53</f>
        <v>334.07999999999993</v>
      </c>
    </row>
    <row r="40" spans="1:11" ht="13.15" x14ac:dyDescent="0.25">
      <c r="A40" s="39"/>
      <c r="B40" s="48"/>
      <c r="C40" s="49"/>
      <c r="D40" s="49"/>
      <c r="E40" s="49"/>
      <c r="F40" s="48"/>
      <c r="G40" s="48"/>
      <c r="H40" s="48"/>
      <c r="I40" s="48"/>
      <c r="J40" s="50"/>
      <c r="K40" s="28"/>
    </row>
    <row r="41" spans="1:11" ht="13.15" x14ac:dyDescent="0.25">
      <c r="A41" s="15" t="s">
        <v>24</v>
      </c>
      <c r="B41" s="51">
        <v>64502</v>
      </c>
      <c r="C41" s="12">
        <v>48000</v>
      </c>
      <c r="D41" s="12">
        <v>74935</v>
      </c>
      <c r="E41" s="12">
        <v>50837</v>
      </c>
      <c r="F41" s="51">
        <v>76000</v>
      </c>
      <c r="G41" s="51">
        <v>78000</v>
      </c>
      <c r="H41" s="51">
        <v>80000</v>
      </c>
      <c r="I41" s="51">
        <v>82000</v>
      </c>
      <c r="J41" s="28">
        <f>+AVERAGE(C41:E41)</f>
        <v>57924</v>
      </c>
      <c r="K41" s="28">
        <f>J41*$B$53</f>
        <v>4837.8124799999987</v>
      </c>
    </row>
    <row r="42" spans="1:11" ht="13.15" x14ac:dyDescent="0.25">
      <c r="A42" s="15"/>
      <c r="B42" s="51"/>
      <c r="C42" s="12"/>
      <c r="D42" s="12"/>
      <c r="E42" s="12"/>
      <c r="F42" s="51"/>
      <c r="G42" s="51"/>
      <c r="H42" s="51"/>
      <c r="I42" s="51"/>
      <c r="J42" s="28"/>
      <c r="K42" s="28"/>
    </row>
    <row r="43" spans="1:11" ht="13.15" x14ac:dyDescent="0.25">
      <c r="A43" s="15" t="s">
        <v>25</v>
      </c>
      <c r="B43" s="51">
        <v>14176</v>
      </c>
      <c r="C43" s="12">
        <v>23440</v>
      </c>
      <c r="D43" s="12">
        <v>20371</v>
      </c>
      <c r="E43" s="12">
        <v>33621</v>
      </c>
      <c r="F43" s="51">
        <v>19000</v>
      </c>
      <c r="G43" s="51">
        <v>20000</v>
      </c>
      <c r="H43" s="51">
        <v>21000</v>
      </c>
      <c r="I43" s="51">
        <v>21000</v>
      </c>
      <c r="J43" s="28">
        <f>+AVERAGE(C43:E43)</f>
        <v>25810.666666666668</v>
      </c>
      <c r="K43" s="28">
        <f>J43*$B$53</f>
        <v>2155.7068799999997</v>
      </c>
    </row>
    <row r="44" spans="1:11" ht="13.15" x14ac:dyDescent="0.25">
      <c r="A44" s="15"/>
      <c r="B44" s="51"/>
      <c r="C44" s="12"/>
      <c r="D44" s="12"/>
      <c r="E44" s="12"/>
      <c r="F44" s="51"/>
      <c r="G44" s="51"/>
      <c r="H44" s="51"/>
      <c r="I44" s="51"/>
      <c r="J44" s="28"/>
      <c r="K44" s="28"/>
    </row>
    <row r="45" spans="1:11" ht="13.15" x14ac:dyDescent="0.25">
      <c r="A45" s="15" t="s">
        <v>26</v>
      </c>
      <c r="B45" s="51">
        <v>71022</v>
      </c>
      <c r="C45" s="12">
        <v>52771</v>
      </c>
      <c r="D45" s="12">
        <v>75249</v>
      </c>
      <c r="E45" s="12">
        <v>86363</v>
      </c>
      <c r="F45" s="51">
        <v>78100</v>
      </c>
      <c r="G45" s="51">
        <v>78100</v>
      </c>
      <c r="H45" s="51">
        <v>78100</v>
      </c>
      <c r="I45" s="51">
        <v>78100</v>
      </c>
      <c r="J45" s="28">
        <f>+AVERAGE(C45:E45)</f>
        <v>71461</v>
      </c>
      <c r="K45" s="28">
        <f>J45*$B$53</f>
        <v>5968.4227199999987</v>
      </c>
    </row>
    <row r="46" spans="1:11" ht="13.15" x14ac:dyDescent="0.25">
      <c r="A46" s="15"/>
      <c r="B46" s="51"/>
      <c r="C46" s="12"/>
      <c r="D46" s="12"/>
      <c r="E46" s="12"/>
      <c r="F46" s="51"/>
      <c r="G46" s="51"/>
      <c r="H46" s="51"/>
      <c r="I46" s="51"/>
      <c r="J46" s="28"/>
      <c r="K46" s="28"/>
    </row>
    <row r="47" spans="1:11" ht="13.15" x14ac:dyDescent="0.25">
      <c r="A47" s="13" t="s">
        <v>27</v>
      </c>
      <c r="B47" s="51">
        <v>11296</v>
      </c>
      <c r="C47" s="12">
        <v>8478</v>
      </c>
      <c r="D47" s="12">
        <v>6549</v>
      </c>
      <c r="E47" s="12">
        <v>5195</v>
      </c>
      <c r="F47" s="51"/>
      <c r="G47" s="51"/>
      <c r="H47" s="51"/>
      <c r="I47" s="51"/>
      <c r="J47" s="28">
        <f>+AVERAGE(C47:E47)</f>
        <v>6740.666666666667</v>
      </c>
      <c r="K47" s="28">
        <f>J47*$B$53</f>
        <v>562.98047999999994</v>
      </c>
    </row>
    <row r="48" spans="1:11" ht="13.15" x14ac:dyDescent="0.25">
      <c r="A48" s="13"/>
      <c r="B48" s="51"/>
      <c r="C48" s="12"/>
      <c r="D48" s="12"/>
      <c r="E48" s="12"/>
      <c r="F48" s="51"/>
      <c r="G48" s="51"/>
      <c r="H48" s="51"/>
      <c r="I48" s="51"/>
      <c r="J48" s="28"/>
      <c r="K48" s="28"/>
    </row>
    <row r="49" spans="1:11" x14ac:dyDescent="0.2">
      <c r="A49" s="13" t="s">
        <v>28</v>
      </c>
      <c r="B49" s="51">
        <v>5238</v>
      </c>
      <c r="C49" s="12">
        <v>15489</v>
      </c>
      <c r="D49" s="12">
        <v>15868</v>
      </c>
      <c r="E49" s="12">
        <v>13624</v>
      </c>
      <c r="F49" s="51"/>
      <c r="G49" s="51"/>
      <c r="H49" s="51"/>
      <c r="I49" s="51"/>
      <c r="J49" s="28">
        <f>+AVERAGE(C49:E49)</f>
        <v>14993.666666666666</v>
      </c>
      <c r="K49" s="28">
        <f>J49*$B$53</f>
        <v>1252.2710399999996</v>
      </c>
    </row>
    <row r="50" spans="1:11" ht="13.15" x14ac:dyDescent="0.25">
      <c r="A50" s="15"/>
      <c r="B50" s="51"/>
      <c r="C50" s="12"/>
      <c r="D50" s="12"/>
      <c r="E50" s="12"/>
      <c r="F50" s="51"/>
      <c r="G50" s="51"/>
      <c r="H50" s="51"/>
      <c r="I50" s="51"/>
      <c r="J50" s="50"/>
      <c r="K50" s="28"/>
    </row>
    <row r="51" spans="1:11" ht="13.15" x14ac:dyDescent="0.25">
      <c r="A51" s="16" t="s">
        <v>29</v>
      </c>
      <c r="B51" s="52">
        <f t="shared" ref="B51:I51" si="2">SUM(B39:B50)</f>
        <v>169248</v>
      </c>
      <c r="C51" s="52">
        <f t="shared" si="2"/>
        <v>150178</v>
      </c>
      <c r="D51" s="52">
        <f t="shared" si="2"/>
        <v>198972</v>
      </c>
      <c r="E51" s="52">
        <f t="shared" si="2"/>
        <v>193640</v>
      </c>
      <c r="F51" s="52">
        <f t="shared" si="2"/>
        <v>173100</v>
      </c>
      <c r="G51" s="52">
        <f t="shared" si="2"/>
        <v>176100</v>
      </c>
      <c r="H51" s="52">
        <f t="shared" si="2"/>
        <v>179100</v>
      </c>
      <c r="I51" s="52">
        <f t="shared" si="2"/>
        <v>181100</v>
      </c>
      <c r="J51" s="33">
        <f>+AVERAGE(B51:D51)</f>
        <v>172799.33333333334</v>
      </c>
      <c r="K51" s="52">
        <f>(J51*$B$53)</f>
        <v>14432.200319999998</v>
      </c>
    </row>
    <row r="52" spans="1:11" ht="13.15" x14ac:dyDescent="0.25">
      <c r="A52" s="9" t="s">
        <v>44</v>
      </c>
    </row>
    <row r="53" spans="1:11" ht="13.15" x14ac:dyDescent="0.25">
      <c r="A53" s="45" t="s">
        <v>45</v>
      </c>
      <c r="B53" s="70">
        <v>8.3519999999999983E-2</v>
      </c>
    </row>
    <row r="56" spans="1:11" ht="26.45" x14ac:dyDescent="0.25">
      <c r="A56" s="35" t="s">
        <v>46</v>
      </c>
      <c r="B56" s="46">
        <v>2011</v>
      </c>
      <c r="C56" s="46">
        <v>2012</v>
      </c>
      <c r="D56" s="46">
        <v>2013</v>
      </c>
      <c r="E56" s="46">
        <v>2014</v>
      </c>
      <c r="F56" s="46">
        <v>2015</v>
      </c>
      <c r="G56" s="46">
        <v>2016</v>
      </c>
      <c r="H56" s="23">
        <v>2017</v>
      </c>
      <c r="I56" s="23">
        <v>2018</v>
      </c>
      <c r="J56" s="47" t="s">
        <v>40</v>
      </c>
      <c r="K56" s="38" t="s">
        <v>36</v>
      </c>
    </row>
    <row r="57" spans="1:11" x14ac:dyDescent="0.2">
      <c r="A57" s="39" t="s">
        <v>43</v>
      </c>
      <c r="B57" s="48">
        <v>210</v>
      </c>
      <c r="C57" s="49">
        <v>0</v>
      </c>
      <c r="D57" s="49">
        <v>0</v>
      </c>
      <c r="E57" s="49">
        <v>19384</v>
      </c>
      <c r="F57" s="48">
        <v>0</v>
      </c>
      <c r="G57" s="48">
        <v>0</v>
      </c>
      <c r="H57" s="48">
        <v>0</v>
      </c>
      <c r="I57" s="48">
        <v>0</v>
      </c>
      <c r="J57" s="28">
        <f>+AVERAGE(C57:E57)</f>
        <v>6461.333333333333</v>
      </c>
      <c r="K57" s="28">
        <f>J57*$B$71</f>
        <v>7443.4559999999992</v>
      </c>
    </row>
    <row r="58" spans="1:11" x14ac:dyDescent="0.2">
      <c r="A58" s="39"/>
      <c r="B58" s="48"/>
      <c r="C58" s="49"/>
      <c r="D58" s="49"/>
      <c r="E58" s="49"/>
      <c r="F58" s="48"/>
      <c r="G58" s="48"/>
      <c r="H58" s="48"/>
      <c r="I58" s="48"/>
      <c r="J58" s="50"/>
      <c r="K58" s="28"/>
    </row>
    <row r="59" spans="1:11" x14ac:dyDescent="0.2">
      <c r="A59" s="15" t="s">
        <v>24</v>
      </c>
      <c r="B59" s="51">
        <v>6193</v>
      </c>
      <c r="C59" s="12">
        <v>6759</v>
      </c>
      <c r="D59" s="12">
        <v>4280</v>
      </c>
      <c r="E59" s="12">
        <v>4304</v>
      </c>
      <c r="F59" s="51">
        <v>11000</v>
      </c>
      <c r="G59" s="51">
        <v>13000</v>
      </c>
      <c r="H59" s="51">
        <v>15000</v>
      </c>
      <c r="I59" s="51">
        <v>15000</v>
      </c>
      <c r="J59" s="28">
        <f>+AVERAGE(C59:E59)</f>
        <v>5114.333333333333</v>
      </c>
      <c r="K59" s="28">
        <f>J59*$B$71</f>
        <v>5891.7119999999995</v>
      </c>
    </row>
    <row r="60" spans="1:11" x14ac:dyDescent="0.2">
      <c r="A60" s="15"/>
      <c r="B60" s="51"/>
      <c r="C60" s="12"/>
      <c r="D60" s="12"/>
      <c r="E60" s="12"/>
      <c r="F60" s="51"/>
      <c r="G60" s="51"/>
      <c r="H60" s="51"/>
      <c r="I60" s="51"/>
      <c r="J60" s="28"/>
      <c r="K60" s="28"/>
    </row>
    <row r="61" spans="1:11" x14ac:dyDescent="0.2">
      <c r="A61" s="15" t="s">
        <v>25</v>
      </c>
      <c r="B61" s="51">
        <v>785</v>
      </c>
      <c r="C61" s="12">
        <v>5879</v>
      </c>
      <c r="D61" s="12">
        <v>1604</v>
      </c>
      <c r="E61" s="12">
        <v>3607</v>
      </c>
      <c r="F61" s="51">
        <v>5000</v>
      </c>
      <c r="G61" s="51">
        <v>6000</v>
      </c>
      <c r="H61" s="51">
        <v>6000</v>
      </c>
      <c r="I61" s="51">
        <v>8000</v>
      </c>
      <c r="J61" s="28">
        <f>+AVERAGE(C61:E61)</f>
        <v>3696.6666666666665</v>
      </c>
      <c r="K61" s="28">
        <f>J61*$B$71</f>
        <v>4258.5599999999995</v>
      </c>
    </row>
    <row r="62" spans="1:11" x14ac:dyDescent="0.2">
      <c r="A62" s="15"/>
      <c r="B62" s="51"/>
      <c r="C62" s="12"/>
      <c r="D62" s="12"/>
      <c r="E62" s="12"/>
      <c r="F62" s="51"/>
      <c r="G62" s="51"/>
      <c r="H62" s="51"/>
      <c r="I62" s="51"/>
      <c r="J62" s="28"/>
      <c r="K62" s="28"/>
    </row>
    <row r="63" spans="1:11" x14ac:dyDescent="0.2">
      <c r="A63" s="15" t="s">
        <v>26</v>
      </c>
      <c r="B63" s="51">
        <v>13974</v>
      </c>
      <c r="C63" s="12">
        <v>3325</v>
      </c>
      <c r="D63" s="12">
        <v>11708</v>
      </c>
      <c r="E63" s="12">
        <v>13289</v>
      </c>
      <c r="F63" s="51">
        <v>13500</v>
      </c>
      <c r="G63" s="51">
        <v>14000</v>
      </c>
      <c r="H63" s="51">
        <v>14500</v>
      </c>
      <c r="I63" s="51">
        <v>14500</v>
      </c>
      <c r="J63" s="28">
        <f>+AVERAGE(C63:E63)</f>
        <v>9440.6666666666661</v>
      </c>
      <c r="K63" s="28">
        <f>J63*$B$71</f>
        <v>10875.647999999999</v>
      </c>
    </row>
    <row r="64" spans="1:11" x14ac:dyDescent="0.2">
      <c r="A64" s="15"/>
      <c r="B64" s="51"/>
      <c r="C64" s="12"/>
      <c r="D64" s="12"/>
      <c r="E64" s="12"/>
      <c r="F64" s="51"/>
      <c r="G64" s="51"/>
      <c r="H64" s="51"/>
      <c r="I64" s="51"/>
      <c r="J64" s="28"/>
      <c r="K64" s="28"/>
    </row>
    <row r="65" spans="1:13" x14ac:dyDescent="0.2">
      <c r="A65" s="13" t="s">
        <v>27</v>
      </c>
      <c r="B65" s="51">
        <v>393</v>
      </c>
      <c r="C65" s="12">
        <v>897</v>
      </c>
      <c r="D65" s="12">
        <v>190</v>
      </c>
      <c r="E65" s="12">
        <v>334</v>
      </c>
      <c r="F65" s="51"/>
      <c r="G65" s="51"/>
      <c r="H65" s="51"/>
      <c r="I65" s="51"/>
      <c r="J65" s="28">
        <f>+AVERAGE(C65:E65)</f>
        <v>473.66666666666669</v>
      </c>
      <c r="K65" s="28">
        <f>J65*$B$71</f>
        <v>545.66399999999999</v>
      </c>
    </row>
    <row r="66" spans="1:13" x14ac:dyDescent="0.2">
      <c r="A66" s="13"/>
      <c r="B66" s="51"/>
      <c r="C66" s="12"/>
      <c r="D66" s="12"/>
      <c r="E66" s="12"/>
      <c r="F66" s="51"/>
      <c r="G66" s="51"/>
      <c r="H66" s="51"/>
      <c r="I66" s="51"/>
      <c r="J66" s="28"/>
      <c r="K66" s="28"/>
    </row>
    <row r="67" spans="1:13" x14ac:dyDescent="0.2">
      <c r="A67" s="13" t="s">
        <v>28</v>
      </c>
      <c r="B67" s="51">
        <v>0</v>
      </c>
      <c r="C67" s="12">
        <v>877</v>
      </c>
      <c r="D67" s="12">
        <v>1688</v>
      </c>
      <c r="E67" s="12">
        <v>233</v>
      </c>
      <c r="F67" s="51"/>
      <c r="G67" s="51"/>
      <c r="H67" s="51"/>
      <c r="I67" s="51"/>
      <c r="J67" s="28">
        <f>+AVERAGE(C67:E67)</f>
        <v>932.66666666666663</v>
      </c>
      <c r="K67" s="28">
        <f>J67*$B$71</f>
        <v>1074.4319999999998</v>
      </c>
    </row>
    <row r="68" spans="1:13" x14ac:dyDescent="0.2">
      <c r="A68" s="15"/>
      <c r="B68" s="51"/>
      <c r="C68" s="12"/>
      <c r="D68" s="12"/>
      <c r="E68" s="12"/>
      <c r="F68" s="51"/>
      <c r="G68" s="51"/>
      <c r="H68" s="51"/>
      <c r="I68" s="51"/>
      <c r="J68" s="50"/>
      <c r="K68" s="28"/>
    </row>
    <row r="69" spans="1:13" x14ac:dyDescent="0.2">
      <c r="A69" s="16" t="s">
        <v>29</v>
      </c>
      <c r="B69" s="52">
        <f t="shared" ref="B69:I69" si="3">SUM(B57:B68)</f>
        <v>21555</v>
      </c>
      <c r="C69" s="52">
        <f t="shared" si="3"/>
        <v>17737</v>
      </c>
      <c r="D69" s="52">
        <f t="shared" si="3"/>
        <v>19470</v>
      </c>
      <c r="E69" s="52">
        <f t="shared" si="3"/>
        <v>41151</v>
      </c>
      <c r="F69" s="52">
        <f t="shared" si="3"/>
        <v>29500</v>
      </c>
      <c r="G69" s="52">
        <f t="shared" si="3"/>
        <v>33000</v>
      </c>
      <c r="H69" s="52">
        <f t="shared" si="3"/>
        <v>35500</v>
      </c>
      <c r="I69" s="52">
        <f t="shared" si="3"/>
        <v>37500</v>
      </c>
      <c r="J69" s="33">
        <f>+AVERAGE(B69:D69)</f>
        <v>19587.333333333332</v>
      </c>
      <c r="K69" s="52">
        <f>(J69*$B$71)</f>
        <v>22564.607999999997</v>
      </c>
    </row>
    <row r="70" spans="1:13" x14ac:dyDescent="0.2">
      <c r="A70" s="9" t="s">
        <v>44</v>
      </c>
      <c r="M70" s="64">
        <f>+K17+K34+K51+K69</f>
        <v>107102.15231999999</v>
      </c>
    </row>
    <row r="71" spans="1:13" x14ac:dyDescent="0.2">
      <c r="A71" s="45" t="s">
        <v>47</v>
      </c>
      <c r="B71" s="70">
        <v>1.1519999999999999</v>
      </c>
    </row>
  </sheetData>
  <hyperlinks>
    <hyperlink ref="B1" location="Hovedark!A1" display="Hovedark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zoomScale="120" zoomScaleNormal="120" workbookViewId="0">
      <selection activeCell="D22" sqref="D22"/>
    </sheetView>
  </sheetViews>
  <sheetFormatPr baseColWidth="10" defaultColWidth="9.140625" defaultRowHeight="12.75" x14ac:dyDescent="0.2"/>
  <cols>
    <col min="1" max="1" width="48" style="10" customWidth="1"/>
    <col min="2" max="2" width="18.28515625" style="8" customWidth="1"/>
    <col min="3" max="3" width="6.42578125" style="54" bestFit="1" customWidth="1"/>
    <col min="4" max="4" width="48" style="10" customWidth="1"/>
    <col min="5" max="5" width="18.28515625" style="10" customWidth="1"/>
    <col min="6" max="16384" width="9.140625" style="10"/>
  </cols>
  <sheetData>
    <row r="1" spans="1:5" x14ac:dyDescent="0.2">
      <c r="B1" s="53" t="s">
        <v>51</v>
      </c>
    </row>
    <row r="2" spans="1:5" x14ac:dyDescent="0.2">
      <c r="A2" s="35" t="s">
        <v>52</v>
      </c>
      <c r="B2" s="52"/>
      <c r="D2" s="35" t="s">
        <v>53</v>
      </c>
      <c r="E2" s="52"/>
    </row>
    <row r="3" spans="1:5" x14ac:dyDescent="0.2">
      <c r="A3" s="27"/>
      <c r="B3" s="12"/>
      <c r="D3" s="27" t="s">
        <v>54</v>
      </c>
      <c r="E3" s="12">
        <v>1000</v>
      </c>
    </row>
    <row r="4" spans="1:5" x14ac:dyDescent="0.2">
      <c r="A4" s="27" t="s">
        <v>55</v>
      </c>
      <c r="B4" s="12">
        <v>10634</v>
      </c>
      <c r="D4" s="27" t="s">
        <v>56</v>
      </c>
      <c r="E4" s="12">
        <v>500</v>
      </c>
    </row>
    <row r="5" spans="1:5" x14ac:dyDescent="0.2">
      <c r="A5" s="27" t="s">
        <v>57</v>
      </c>
      <c r="B5" s="12">
        <f>12282+800</f>
        <v>13082</v>
      </c>
      <c r="D5" s="27" t="s">
        <v>58</v>
      </c>
      <c r="E5" s="12">
        <v>130</v>
      </c>
    </row>
    <row r="6" spans="1:5" x14ac:dyDescent="0.2">
      <c r="A6" s="27" t="s">
        <v>59</v>
      </c>
      <c r="B6" s="12">
        <f>10398+700</f>
        <v>11098</v>
      </c>
      <c r="D6" s="27" t="s">
        <v>60</v>
      </c>
      <c r="E6" s="12">
        <v>140</v>
      </c>
    </row>
    <row r="7" spans="1:5" x14ac:dyDescent="0.2">
      <c r="A7" s="27" t="s">
        <v>61</v>
      </c>
      <c r="B7" s="12">
        <v>14278</v>
      </c>
      <c r="D7" s="27" t="s">
        <v>62</v>
      </c>
      <c r="E7" s="12">
        <v>500</v>
      </c>
    </row>
    <row r="8" spans="1:5" x14ac:dyDescent="0.2">
      <c r="A8" s="27" t="s">
        <v>63</v>
      </c>
      <c r="B8" s="12">
        <v>2691</v>
      </c>
      <c r="D8" s="27" t="s">
        <v>64</v>
      </c>
      <c r="E8" s="12">
        <v>300</v>
      </c>
    </row>
    <row r="9" spans="1:5" x14ac:dyDescent="0.2">
      <c r="A9" s="27" t="s">
        <v>65</v>
      </c>
      <c r="B9" s="12">
        <v>3069</v>
      </c>
      <c r="D9" s="27" t="s">
        <v>66</v>
      </c>
      <c r="E9" s="12">
        <v>1900</v>
      </c>
    </row>
    <row r="10" spans="1:5" x14ac:dyDescent="0.2">
      <c r="A10" s="16" t="s">
        <v>67</v>
      </c>
      <c r="B10" s="52">
        <f>SUM(B3:B9)</f>
        <v>54852</v>
      </c>
      <c r="D10" s="27" t="s">
        <v>68</v>
      </c>
      <c r="E10" s="12">
        <v>3000</v>
      </c>
    </row>
    <row r="11" spans="1:5" x14ac:dyDescent="0.2">
      <c r="D11" s="27" t="s">
        <v>69</v>
      </c>
      <c r="E11" s="12">
        <v>500</v>
      </c>
    </row>
    <row r="12" spans="1:5" x14ac:dyDescent="0.2">
      <c r="A12" s="5"/>
      <c r="D12" s="27" t="s">
        <v>70</v>
      </c>
      <c r="E12" s="12">
        <v>1200</v>
      </c>
    </row>
    <row r="13" spans="1:5" x14ac:dyDescent="0.2">
      <c r="A13" s="55" t="s">
        <v>71</v>
      </c>
      <c r="B13" s="56"/>
      <c r="D13" s="27" t="s">
        <v>72</v>
      </c>
      <c r="E13" s="12">
        <v>0</v>
      </c>
    </row>
    <row r="14" spans="1:5" x14ac:dyDescent="0.2">
      <c r="A14" s="57" t="s">
        <v>73</v>
      </c>
      <c r="B14" s="12">
        <v>1200</v>
      </c>
      <c r="D14" s="27" t="s">
        <v>74</v>
      </c>
      <c r="E14" s="12">
        <v>0</v>
      </c>
    </row>
    <row r="15" spans="1:5" x14ac:dyDescent="0.2">
      <c r="A15" s="57" t="s">
        <v>75</v>
      </c>
      <c r="B15" s="14">
        <v>1100</v>
      </c>
      <c r="D15" s="27" t="s">
        <v>76</v>
      </c>
      <c r="E15" s="12">
        <v>0</v>
      </c>
    </row>
    <row r="16" spans="1:5" x14ac:dyDescent="0.2">
      <c r="A16" s="57" t="s">
        <v>77</v>
      </c>
      <c r="B16" s="12">
        <v>1000</v>
      </c>
      <c r="D16" s="27" t="s">
        <v>78</v>
      </c>
      <c r="E16" s="12">
        <v>550</v>
      </c>
    </row>
    <row r="17" spans="1:5" ht="13.15" x14ac:dyDescent="0.25">
      <c r="A17" s="57" t="s">
        <v>79</v>
      </c>
      <c r="B17" s="12">
        <v>400</v>
      </c>
      <c r="D17" s="16" t="s">
        <v>80</v>
      </c>
      <c r="E17" s="52">
        <f>SUM(E3:E16)</f>
        <v>9720</v>
      </c>
    </row>
    <row r="18" spans="1:5" ht="13.15" x14ac:dyDescent="0.25">
      <c r="A18" s="57" t="s">
        <v>81</v>
      </c>
      <c r="B18" s="12">
        <v>300</v>
      </c>
    </row>
    <row r="19" spans="1:5" ht="13.15" x14ac:dyDescent="0.25">
      <c r="A19" s="57" t="s">
        <v>82</v>
      </c>
      <c r="B19" s="12">
        <v>120</v>
      </c>
    </row>
    <row r="20" spans="1:5" x14ac:dyDescent="0.2">
      <c r="A20" s="57" t="s">
        <v>83</v>
      </c>
      <c r="B20" s="12">
        <v>300</v>
      </c>
      <c r="C20" s="58"/>
    </row>
    <row r="21" spans="1:5" x14ac:dyDescent="0.2">
      <c r="A21" s="59" t="s">
        <v>84</v>
      </c>
      <c r="B21" s="12">
        <v>500</v>
      </c>
      <c r="C21" s="58"/>
    </row>
    <row r="22" spans="1:5" ht="13.15" x14ac:dyDescent="0.25">
      <c r="A22" s="57" t="s">
        <v>85</v>
      </c>
      <c r="B22" s="12">
        <v>100</v>
      </c>
      <c r="C22" s="60"/>
      <c r="E22" s="8"/>
    </row>
    <row r="23" spans="1:5" x14ac:dyDescent="0.2">
      <c r="A23" s="57" t="s">
        <v>86</v>
      </c>
      <c r="B23" s="12">
        <v>3000</v>
      </c>
      <c r="C23" s="60"/>
      <c r="E23" s="8"/>
    </row>
    <row r="24" spans="1:5" x14ac:dyDescent="0.2">
      <c r="A24" s="57" t="s">
        <v>87</v>
      </c>
      <c r="B24" s="14">
        <v>500</v>
      </c>
      <c r="C24" s="60"/>
      <c r="E24" s="8"/>
    </row>
    <row r="25" spans="1:5" ht="13.15" x14ac:dyDescent="0.25">
      <c r="A25" s="57" t="s">
        <v>88</v>
      </c>
      <c r="B25" s="14">
        <v>300</v>
      </c>
      <c r="C25" s="60"/>
      <c r="E25" s="8"/>
    </row>
    <row r="26" spans="1:5" x14ac:dyDescent="0.2">
      <c r="A26" s="59" t="s">
        <v>89</v>
      </c>
      <c r="B26" s="14">
        <v>1000</v>
      </c>
      <c r="C26" s="60"/>
      <c r="E26" s="8"/>
    </row>
    <row r="27" spans="1:5" ht="13.15" x14ac:dyDescent="0.25">
      <c r="A27" s="61" t="s">
        <v>90</v>
      </c>
      <c r="B27" s="62">
        <f>SUM(B14:B26)</f>
        <v>9820</v>
      </c>
      <c r="C27" s="60"/>
    </row>
    <row r="28" spans="1:5" ht="13.15" x14ac:dyDescent="0.25">
      <c r="C28" s="60"/>
    </row>
    <row r="29" spans="1:5" ht="13.15" x14ac:dyDescent="0.25">
      <c r="C29" s="60"/>
    </row>
    <row r="30" spans="1:5" ht="13.15" x14ac:dyDescent="0.25">
      <c r="B30" s="10"/>
      <c r="C30" s="60"/>
    </row>
    <row r="31" spans="1:5" ht="13.15" x14ac:dyDescent="0.25">
      <c r="B31" s="10"/>
      <c r="C31" s="60"/>
    </row>
    <row r="32" spans="1:5" ht="13.15" x14ac:dyDescent="0.25">
      <c r="B32" s="10"/>
      <c r="C32" s="60"/>
    </row>
    <row r="33" spans="2:3" ht="13.15" x14ac:dyDescent="0.25">
      <c r="B33" s="10"/>
      <c r="C33" s="60"/>
    </row>
    <row r="34" spans="2:3" ht="13.15" x14ac:dyDescent="0.25">
      <c r="B34" s="10"/>
      <c r="C34" s="60"/>
    </row>
    <row r="35" spans="2:3" ht="13.15" x14ac:dyDescent="0.25">
      <c r="B35" s="10"/>
      <c r="C35" s="60"/>
    </row>
    <row r="36" spans="2:3" ht="13.15" x14ac:dyDescent="0.25">
      <c r="B36" s="10"/>
      <c r="C36" s="60"/>
    </row>
    <row r="37" spans="2:3" ht="13.15" x14ac:dyDescent="0.25">
      <c r="B37" s="10"/>
      <c r="C37" s="58"/>
    </row>
    <row r="38" spans="2:3" ht="13.15" x14ac:dyDescent="0.25">
      <c r="B38" s="10"/>
      <c r="C38" s="58"/>
    </row>
    <row r="39" spans="2:3" ht="14.45" x14ac:dyDescent="0.3">
      <c r="B39" s="10"/>
      <c r="C39"/>
    </row>
  </sheetData>
  <hyperlinks>
    <hyperlink ref="B1" location="Hovedark!A1" display="Hovedside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Fordeling</vt:lpstr>
      <vt:lpstr>Utdanning</vt:lpstr>
      <vt:lpstr>Forskning rekrutteringst.</vt:lpstr>
      <vt:lpstr>Forskning øremerking</vt:lpstr>
      <vt:lpstr>Forskning resultat</vt:lpstr>
      <vt:lpstr>Ledelse og admin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Groseth Langballe</dc:creator>
  <cp:lastModifiedBy>Mette Groseth Langballe</cp:lastModifiedBy>
  <dcterms:created xsi:type="dcterms:W3CDTF">2015-10-22T11:33:23Z</dcterms:created>
  <dcterms:modified xsi:type="dcterms:W3CDTF">2016-01-06T12:16:02Z</dcterms:modified>
</cp:coreProperties>
</file>